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56" windowWidth="17496" windowHeight="10932"/>
  </bookViews>
  <sheets>
    <sheet name="2022" sheetId="1" r:id="rId1"/>
  </sheets>
  <calcPr calcId="144525" refMode="R1C1"/>
</workbook>
</file>

<file path=xl/calcChain.xml><?xml version="1.0" encoding="utf-8"?>
<calcChain xmlns="http://schemas.openxmlformats.org/spreadsheetml/2006/main">
  <c r="M37" i="1" l="1"/>
  <c r="L32" i="1" l="1"/>
  <c r="K32" i="1"/>
  <c r="L29" i="1"/>
  <c r="L37" i="1" l="1"/>
  <c r="M27" i="1" l="1"/>
  <c r="M16" i="1"/>
  <c r="M26" i="1"/>
  <c r="M8" i="1"/>
  <c r="K37" i="1" l="1"/>
  <c r="L27" i="1" l="1"/>
  <c r="L16" i="1"/>
  <c r="L26" i="1"/>
  <c r="L8" i="1"/>
  <c r="K27" i="1" l="1"/>
  <c r="K16" i="1"/>
  <c r="K26" i="1"/>
  <c r="K8" i="1"/>
  <c r="K33" i="1" l="1"/>
  <c r="L33" i="1"/>
  <c r="M33" i="1"/>
  <c r="K28" i="1"/>
  <c r="L28" i="1"/>
  <c r="M28" i="1"/>
  <c r="K25" i="1"/>
  <c r="L25" i="1"/>
  <c r="M25" i="1"/>
  <c r="M24" i="1"/>
  <c r="L24" i="1"/>
  <c r="K24" i="1"/>
  <c r="J37" i="1" l="1"/>
  <c r="I37" i="1" l="1"/>
  <c r="I28" i="1" l="1"/>
  <c r="J28" i="1"/>
  <c r="H28" i="1"/>
  <c r="J27" i="1" l="1"/>
  <c r="J16" i="1"/>
  <c r="J26" i="1"/>
  <c r="J8" i="1"/>
  <c r="H33" i="1"/>
  <c r="I33" i="1"/>
  <c r="J33" i="1"/>
  <c r="H25" i="1"/>
  <c r="I25" i="1"/>
  <c r="J25" i="1"/>
  <c r="H24" i="1"/>
  <c r="I24" i="1"/>
  <c r="J24" i="1"/>
  <c r="I27" i="1" l="1"/>
  <c r="I16" i="1"/>
  <c r="I26" i="1"/>
  <c r="I8" i="1"/>
  <c r="H37" i="1" l="1"/>
  <c r="H27" i="1" l="1"/>
  <c r="H16" i="1"/>
  <c r="H26" i="1"/>
  <c r="H8" i="1"/>
  <c r="G37" i="1" l="1"/>
  <c r="F37" i="1" l="1"/>
  <c r="G27" i="1" l="1"/>
  <c r="G16" i="1"/>
  <c r="G26" i="1"/>
  <c r="G8" i="1"/>
  <c r="F27" i="1" l="1"/>
  <c r="F16" i="1"/>
  <c r="F26" i="1"/>
  <c r="F8" i="1"/>
  <c r="E37" i="1" l="1"/>
  <c r="E27" i="1" l="1"/>
  <c r="E16" i="1"/>
  <c r="E26" i="1"/>
  <c r="E8" i="1"/>
  <c r="E33" i="1" l="1"/>
  <c r="F33" i="1"/>
  <c r="G33" i="1"/>
  <c r="E28" i="1"/>
  <c r="F28" i="1"/>
  <c r="G28" i="1"/>
  <c r="E25" i="1"/>
  <c r="F25" i="1"/>
  <c r="G25" i="1"/>
  <c r="E24" i="1"/>
  <c r="F24" i="1"/>
  <c r="G24" i="1"/>
  <c r="D37" i="1" l="1"/>
  <c r="D29" i="1" l="1"/>
  <c r="C37" i="1" l="1"/>
  <c r="N32" i="1" l="1"/>
  <c r="N33" i="1"/>
  <c r="N34" i="1"/>
  <c r="D27" i="1"/>
  <c r="D16" i="1"/>
  <c r="D26" i="1"/>
  <c r="D8" i="1"/>
  <c r="B37" i="1" l="1"/>
  <c r="C27" i="1" l="1"/>
  <c r="C16" i="1"/>
  <c r="C26" i="1"/>
  <c r="C8" i="1"/>
  <c r="B27" i="1" l="1"/>
  <c r="B16" i="1"/>
  <c r="B26" i="1"/>
  <c r="B8" i="1"/>
  <c r="C33" i="1" l="1"/>
  <c r="D33" i="1"/>
  <c r="C28" i="1"/>
  <c r="D28" i="1"/>
  <c r="C25" i="1"/>
  <c r="D25" i="1"/>
  <c r="C24" i="1"/>
  <c r="D24" i="1"/>
  <c r="B33" i="1"/>
  <c r="B28" i="1"/>
  <c r="B25" i="1"/>
  <c r="B24" i="1"/>
  <c r="N14" i="1" l="1"/>
  <c r="N6" i="1" l="1"/>
  <c r="N5" i="1"/>
  <c r="L7" i="1" l="1"/>
  <c r="N8" i="1"/>
  <c r="N24" i="1"/>
  <c r="N25" i="1"/>
  <c r="N28" i="1"/>
  <c r="N29" i="1"/>
  <c r="N30" i="1"/>
  <c r="N31" i="1"/>
  <c r="N35" i="1"/>
  <c r="N36" i="1"/>
  <c r="N37" i="1"/>
  <c r="N17" i="1"/>
  <c r="N18" i="1"/>
  <c r="N19" i="1"/>
  <c r="N20" i="1"/>
  <c r="N21" i="1"/>
  <c r="N22" i="1"/>
  <c r="N16" i="1"/>
  <c r="K15" i="1"/>
  <c r="L15" i="1"/>
  <c r="M15" i="1"/>
  <c r="N9" i="1"/>
  <c r="N10" i="1"/>
  <c r="N11" i="1"/>
  <c r="N12" i="1"/>
  <c r="N13" i="1"/>
  <c r="K7" i="1"/>
  <c r="M7" i="1"/>
  <c r="M38" i="1" l="1"/>
  <c r="M39" i="1" s="1"/>
  <c r="L38" i="1"/>
  <c r="L39" i="1" s="1"/>
  <c r="N27" i="1"/>
  <c r="K38" i="1"/>
  <c r="C15" i="1"/>
  <c r="D15" i="1"/>
  <c r="D38" i="1" s="1"/>
  <c r="D39" i="1" s="1"/>
  <c r="E15" i="1"/>
  <c r="F15" i="1"/>
  <c r="G15" i="1"/>
  <c r="H15" i="1"/>
  <c r="I15" i="1"/>
  <c r="J15" i="1"/>
  <c r="G38" i="1" l="1"/>
  <c r="G39" i="1" s="1"/>
  <c r="J38" i="1"/>
  <c r="J39" i="1" s="1"/>
  <c r="K39" i="1"/>
  <c r="J7" i="1" l="1"/>
  <c r="I7" i="1"/>
  <c r="H7" i="1"/>
  <c r="I38" i="1" l="1"/>
  <c r="I39" i="1" s="1"/>
  <c r="H38" i="1" l="1"/>
  <c r="H39" i="1" l="1"/>
  <c r="N26" i="1"/>
  <c r="E7" i="1" l="1"/>
  <c r="F7" i="1"/>
  <c r="G7" i="1"/>
  <c r="D7" i="1"/>
  <c r="C7" i="1"/>
  <c r="B15" i="1"/>
  <c r="B7" i="1"/>
  <c r="B38" i="1" l="1"/>
  <c r="B39" i="1" s="1"/>
  <c r="B40" i="1" s="1"/>
  <c r="B41" i="1"/>
  <c r="C6" i="1" s="1"/>
  <c r="C41" i="1" s="1"/>
  <c r="N15" i="1"/>
  <c r="N7" i="1"/>
  <c r="E38" i="1"/>
  <c r="F38" i="1"/>
  <c r="F39" i="1" s="1"/>
  <c r="N41" i="1" l="1"/>
  <c r="E39" i="1"/>
  <c r="D6" i="1"/>
  <c r="D41" i="1" s="1"/>
  <c r="C38" i="1"/>
  <c r="C5" i="1"/>
  <c r="N38" i="1" l="1"/>
  <c r="E6" i="1"/>
  <c r="E41" i="1" s="1"/>
  <c r="F6" i="1" s="1"/>
  <c r="F41" i="1" s="1"/>
  <c r="C39" i="1"/>
  <c r="C40" i="1" s="1"/>
  <c r="D5" i="1" s="1"/>
  <c r="D40" i="1" s="1"/>
  <c r="N39" i="1" l="1"/>
  <c r="N40" i="1"/>
  <c r="G6" i="1"/>
  <c r="G41" i="1" s="1"/>
  <c r="E5" i="1"/>
  <c r="E40" i="1" s="1"/>
  <c r="H6" i="1" l="1"/>
  <c r="H41" i="1" s="1"/>
  <c r="F5" i="1"/>
  <c r="F40" i="1" s="1"/>
  <c r="I6" i="1" l="1"/>
  <c r="I41" i="1" s="1"/>
  <c r="G5" i="1"/>
  <c r="G40" i="1" s="1"/>
  <c r="J6" i="1" l="1"/>
  <c r="H5" i="1"/>
  <c r="H40" i="1" s="1"/>
  <c r="J41" i="1" l="1"/>
  <c r="K6" i="1" s="1"/>
  <c r="K41" i="1" s="1"/>
  <c r="L6" i="1" s="1"/>
  <c r="L41" i="1" s="1"/>
  <c r="M6" i="1" s="1"/>
  <c r="M41" i="1" s="1"/>
  <c r="I5" i="1"/>
  <c r="I40" i="1" s="1"/>
  <c r="J5" i="1" l="1"/>
  <c r="J40" i="1" s="1"/>
  <c r="K5" i="1" l="1"/>
  <c r="K40" i="1" l="1"/>
  <c r="L5" i="1" s="1"/>
  <c r="L40" i="1" l="1"/>
  <c r="M5" i="1" s="1"/>
  <c r="M40" i="1" s="1"/>
</calcChain>
</file>

<file path=xl/sharedStrings.xml><?xml version="1.0" encoding="utf-8"?>
<sst xmlns="http://schemas.openxmlformats.org/spreadsheetml/2006/main" count="52" uniqueCount="44">
  <si>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</si>
  <si>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</si>
  <si>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</si>
  <si>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</si>
  <si>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</si>
  <si>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</si>
  <si>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</si>
  <si>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</si>
  <si>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</si>
  <si>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</si>
  <si>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</si>
  <si>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</si>
  <si>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</si>
  <si>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</si>
  <si>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Тех.обслуживание газового оборудования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</si>
  <si>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</si>
  <si>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</si>
  <si>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</si>
  <si>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</si>
  <si>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</si>
  <si>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</si>
  <si>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</si>
  <si>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</si>
  <si>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</si>
  <si>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</si>
  <si>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Отведение сточных вод ОИ</t>
  </si>
  <si>
    <t xml:space="preserve">Содержание жилья и текущий ремонт,  ОПУ </t>
  </si>
  <si>
    <t>Содержание жилья и текущий ремонт,  ОПУ</t>
  </si>
  <si>
    <t>Январь 2022г.</t>
  </si>
  <si>
    <t>Февраль 2022г.</t>
  </si>
  <si>
    <t>Март 2022г.</t>
  </si>
  <si>
    <t>Апрель 2022г.</t>
  </si>
  <si>
    <t>Май 2022г.</t>
  </si>
  <si>
    <t>Июнь 2022г.</t>
  </si>
  <si>
    <t>Июль 2022г.</t>
  </si>
  <si>
    <t>Август 2022г.</t>
  </si>
  <si>
    <t>Сентябрь 2022г.</t>
  </si>
  <si>
    <t>Октябрь 2022г</t>
  </si>
  <si>
    <t>Ноябрь 2022г</t>
  </si>
  <si>
    <t>Декабрь 2022г</t>
  </si>
  <si>
    <t>Всего:                       за  2022г.</t>
  </si>
  <si>
    <t xml:space="preserve">                 ОТЧЕТ по дому Липового, 80/1 за период 01.01.2022г. по 31.12.2022г.</t>
  </si>
  <si>
    <t>Возмещение расходов совета МКД</t>
  </si>
  <si>
    <t>Тех.обслуживание узла учета теплоэнергии, узла 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</si>
</sst>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164" fontId="7" fillId="2" borderId="4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vertical="top" wrapText="1"/>
    </xf>
    <xf numFmtId="164" fontId="7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7" fillId="4" borderId="3" xfId="0" applyFont="1" applyFill="1" applyBorder="1" applyAlignment="1">
      <alignment vertical="top" wrapText="1"/>
    </xf>
    <xf numFmtId="164" fontId="7" fillId="4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164" fontId="7" fillId="0" borderId="4" xfId="0" applyNumberFormat="1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/>
    <xf numFmtId="164" fontId="5" fillId="0" borderId="6" xfId="0" applyNumberFormat="1" applyFont="1" applyBorder="1" applyAlignment="1">
      <alignment horizontal="left" vertical="top" wrapText="1"/>
    </xf>
    <xf numFmtId="164" fontId="5" fillId="0" borderId="7" xfId="0" applyNumberFormat="1" applyFont="1" applyBorder="1" applyAlignment="1">
      <alignment horizontal="left" vertical="top" wrapText="1"/>
    </xf>
    <xf numFmtId="164" fontId="5" fillId="0" borderId="2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topLeftCell="A26" zoomScale="75" workbookViewId="0">
      <selection activeCell="A27" sqref="A27"/>
    </sheetView>
  </sheetViews>
  <sheetFormatPr defaultRowHeight="13.2" x14ac:dyDescent="0.25"/>
  <cols>
    <col min="1" max="1" width="58.6640625" customWidth="1"/>
    <col min="2" max="2" width="14.109375" customWidth="1"/>
    <col min="3" max="3" width="13.44140625" customWidth="1"/>
    <col min="4" max="4" width="14.33203125" customWidth="1"/>
    <col min="5" max="5" width="13.5546875" customWidth="1"/>
    <col min="6" max="6" width="13.6640625" customWidth="1"/>
    <col min="7" max="7" width="13.88671875" customWidth="1"/>
    <col min="8" max="8" width="14.44140625" customWidth="1"/>
    <col min="9" max="13" width="13.88671875" customWidth="1"/>
    <col min="14" max="14" width="15.88671875" customWidth="1"/>
  </cols>
  <sheetData>
    <row r="1" spans="1:18" ht="20.25" customHeight="1" x14ac:dyDescent="0.35">
      <c r="A1" s="20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8" ht="7.5" customHeight="1" thickBot="1" x14ac:dyDescent="0.3">
      <c r="A2" s="1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6" t="s">
        <v>0</v>
      </c>
      <c r="B4" s="7" t="s">
        <v>28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39</v>
      </c>
      <c r="N4" s="7" t="s">
        <v>40</v>
      </c>
    </row>
    <row r="5" spans="1:18" ht="23.25" customHeight="1" thickBot="1" x14ac:dyDescent="0.3">
      <c r="A5" s="8" t="s">
        <v>16</v>
      </c>
      <c r="B5" s="9">
        <v>-85390.99</v>
      </c>
      <c r="C5" s="9">
        <f t="shared" ref="C5:D6" si="0">B40</f>
        <v>-112788.09826000001</v>
      </c>
      <c r="D5" s="9">
        <f t="shared" si="0"/>
        <v>-104284.16576000005</v>
      </c>
      <c r="E5" s="9">
        <f t="shared" ref="E5:E6" si="1">D40</f>
        <v>-100542.81986000005</v>
      </c>
      <c r="F5" s="9">
        <f t="shared" ref="F5:F6" si="2">E40</f>
        <v>-134523.68881000008</v>
      </c>
      <c r="G5" s="9">
        <f t="shared" ref="G5:G6" si="3">F40</f>
        <v>-133195.68588000009</v>
      </c>
      <c r="H5" s="9">
        <f t="shared" ref="H5:H6" si="4">G40</f>
        <v>-119165.3720700001</v>
      </c>
      <c r="I5" s="9">
        <f t="shared" ref="I5:I6" si="5">H40</f>
        <v>-289403.80134000006</v>
      </c>
      <c r="J5" s="9">
        <f t="shared" ref="J5:J6" si="6">I40</f>
        <v>-297745.02773000009</v>
      </c>
      <c r="K5" s="9">
        <f t="shared" ref="K5:K6" si="7">J40</f>
        <v>-279422.72623000009</v>
      </c>
      <c r="L5" s="9">
        <f t="shared" ref="L5:L6" si="8">K40</f>
        <v>-294092.34205000009</v>
      </c>
      <c r="M5" s="9">
        <f t="shared" ref="M5:M6" si="9">L40</f>
        <v>-317560.51889000006</v>
      </c>
      <c r="N5" s="9">
        <f>B5</f>
        <v>-85390.99</v>
      </c>
    </row>
    <row r="6" spans="1:18" ht="21" customHeight="1" thickBot="1" x14ac:dyDescent="0.3">
      <c r="A6" s="8" t="s">
        <v>13</v>
      </c>
      <c r="B6" s="9">
        <v>-102371.42</v>
      </c>
      <c r="C6" s="9">
        <f t="shared" si="0"/>
        <v>-112617.57</v>
      </c>
      <c r="D6" s="9">
        <f t="shared" si="0"/>
        <v>-109450.80000000002</v>
      </c>
      <c r="E6" s="9">
        <f t="shared" si="1"/>
        <v>-122030.89000000001</v>
      </c>
      <c r="F6" s="9">
        <f t="shared" si="2"/>
        <v>-132509.09000000003</v>
      </c>
      <c r="G6" s="9">
        <f t="shared" si="3"/>
        <v>-134739.10000000003</v>
      </c>
      <c r="H6" s="9">
        <f t="shared" si="4"/>
        <v>-137837.96000000005</v>
      </c>
      <c r="I6" s="9">
        <f t="shared" si="5"/>
        <v>-142675.23000000004</v>
      </c>
      <c r="J6" s="9">
        <f t="shared" si="6"/>
        <v>-139573.10000000003</v>
      </c>
      <c r="K6" s="9">
        <f t="shared" si="7"/>
        <v>-121261.36000000003</v>
      </c>
      <c r="L6" s="9">
        <f t="shared" si="8"/>
        <v>-132998.07000000004</v>
      </c>
      <c r="M6" s="9">
        <f t="shared" si="9"/>
        <v>-141457.93000000002</v>
      </c>
      <c r="N6" s="9">
        <f>B6</f>
        <v>-102371.42</v>
      </c>
    </row>
    <row r="7" spans="1:18" ht="20.25" customHeight="1" thickBot="1" x14ac:dyDescent="0.3">
      <c r="A7" s="10" t="s">
        <v>12</v>
      </c>
      <c r="B7" s="11">
        <f>SUM(B8:B14)</f>
        <v>73958.92</v>
      </c>
      <c r="C7" s="11">
        <f>SUM(C8:C14)</f>
        <v>77424.799999999988</v>
      </c>
      <c r="D7" s="11">
        <f>SUM(D8:D14)</f>
        <v>80715.600000000006</v>
      </c>
      <c r="E7" s="11">
        <f t="shared" ref="E7:G7" si="10">SUM(E8:E14)</f>
        <v>79999.149999999994</v>
      </c>
      <c r="F7" s="11">
        <f t="shared" si="10"/>
        <v>72474.289999999994</v>
      </c>
      <c r="G7" s="11">
        <f t="shared" si="10"/>
        <v>75556.83</v>
      </c>
      <c r="H7" s="11">
        <f>SUM(H8:H14)</f>
        <v>72474.289999999994</v>
      </c>
      <c r="I7" s="11">
        <f>SUM(I8:I14)</f>
        <v>73685.33</v>
      </c>
      <c r="J7" s="11">
        <f>SUM(J8:J14)</f>
        <v>73987.100000000006</v>
      </c>
      <c r="K7" s="11">
        <f t="shared" ref="K7:M7" si="11">SUM(K8:K14)</f>
        <v>75665.039999999994</v>
      </c>
      <c r="L7" s="11">
        <f t="shared" si="11"/>
        <v>77012.87999999999</v>
      </c>
      <c r="M7" s="11">
        <f t="shared" si="11"/>
        <v>87401.91</v>
      </c>
      <c r="N7" s="11">
        <f>SUM(B7:M7)</f>
        <v>920356.14</v>
      </c>
    </row>
    <row r="8" spans="1:18" ht="21" customHeight="1" thickBot="1" x14ac:dyDescent="0.3">
      <c r="A8" s="3" t="s">
        <v>26</v>
      </c>
      <c r="B8" s="12">
        <f t="shared" ref="B8:G8" si="12">62979.6+1557.59</f>
        <v>64537.189999999995</v>
      </c>
      <c r="C8" s="12">
        <f t="shared" si="12"/>
        <v>64537.189999999995</v>
      </c>
      <c r="D8" s="12">
        <f t="shared" si="12"/>
        <v>64537.189999999995</v>
      </c>
      <c r="E8" s="12">
        <f t="shared" si="12"/>
        <v>64537.189999999995</v>
      </c>
      <c r="F8" s="12">
        <f t="shared" si="12"/>
        <v>64537.189999999995</v>
      </c>
      <c r="G8" s="12">
        <f t="shared" si="12"/>
        <v>64537.189999999995</v>
      </c>
      <c r="H8" s="12">
        <f>62979.6+1557.59</f>
        <v>64537.189999999995</v>
      </c>
      <c r="I8" s="12">
        <f>62979.6+1388.31</f>
        <v>64367.909999999996</v>
      </c>
      <c r="J8" s="12">
        <f>62979.6+1388.31</f>
        <v>64367.909999999996</v>
      </c>
      <c r="K8" s="12">
        <f>62979.6+1388.31</f>
        <v>64367.909999999996</v>
      </c>
      <c r="L8" s="12">
        <f>62979.6+1388.31</f>
        <v>64367.909999999996</v>
      </c>
      <c r="M8" s="12">
        <f>62979.6+1388.31</f>
        <v>64367.909999999996</v>
      </c>
      <c r="N8" s="12">
        <f>SUM(B8:M8)</f>
        <v>773599.88</v>
      </c>
    </row>
    <row r="9" spans="1:18" ht="21" customHeight="1" thickBot="1" x14ac:dyDescent="0.3">
      <c r="A9" s="3" t="s">
        <v>17</v>
      </c>
      <c r="B9" s="12">
        <v>0</v>
      </c>
      <c r="C9" s="12">
        <v>0</v>
      </c>
      <c r="D9" s="12">
        <v>0</v>
      </c>
      <c r="E9" s="12">
        <v>2391.61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f t="shared" ref="N9:N14" si="13">SUM(B9:M9)</f>
        <v>2391.61</v>
      </c>
    </row>
    <row r="10" spans="1:18" ht="21" customHeight="1" thickBot="1" x14ac:dyDescent="0.3">
      <c r="A10" s="3" t="s">
        <v>18</v>
      </c>
      <c r="B10" s="12">
        <v>0</v>
      </c>
      <c r="C10" s="12">
        <v>4325.3599999999997</v>
      </c>
      <c r="D10" s="12">
        <v>4506.6400000000003</v>
      </c>
      <c r="E10" s="12">
        <v>5012.1099999999997</v>
      </c>
      <c r="F10" s="12">
        <v>229.86</v>
      </c>
      <c r="G10" s="12">
        <v>229.86</v>
      </c>
      <c r="H10" s="12">
        <v>229.86</v>
      </c>
      <c r="I10" s="12">
        <v>1610.18</v>
      </c>
      <c r="J10" s="12">
        <v>1911.95</v>
      </c>
      <c r="K10" s="12">
        <v>1619.58</v>
      </c>
      <c r="L10" s="12">
        <v>2185.83</v>
      </c>
      <c r="M10" s="12">
        <v>5415.51</v>
      </c>
      <c r="N10" s="12">
        <f t="shared" si="13"/>
        <v>27276.740000000005</v>
      </c>
    </row>
    <row r="11" spans="1:18" ht="21" customHeight="1" thickBot="1" x14ac:dyDescent="0.3">
      <c r="A11" s="3" t="s">
        <v>19</v>
      </c>
      <c r="B11" s="12">
        <v>1714.49</v>
      </c>
      <c r="C11" s="12">
        <v>855.01</v>
      </c>
      <c r="D11" s="12">
        <v>3964.53</v>
      </c>
      <c r="E11" s="12">
        <v>351</v>
      </c>
      <c r="F11" s="12">
        <v>0</v>
      </c>
      <c r="G11" s="12">
        <v>3082.54</v>
      </c>
      <c r="H11" s="12">
        <v>0</v>
      </c>
      <c r="I11" s="12">
        <v>0</v>
      </c>
      <c r="J11" s="12">
        <v>0</v>
      </c>
      <c r="K11" s="12">
        <v>1970.31</v>
      </c>
      <c r="L11" s="12">
        <v>2751.85</v>
      </c>
      <c r="M11" s="12">
        <v>3959.3</v>
      </c>
      <c r="N11" s="12">
        <f t="shared" si="13"/>
        <v>18649.03</v>
      </c>
    </row>
    <row r="12" spans="1:18" ht="21" customHeight="1" thickBot="1" x14ac:dyDescent="0.3">
      <c r="A12" s="3" t="s">
        <v>25</v>
      </c>
      <c r="B12" s="12">
        <v>315.24</v>
      </c>
      <c r="C12" s="12">
        <v>315.24</v>
      </c>
      <c r="D12" s="12">
        <v>315.24</v>
      </c>
      <c r="E12" s="12">
        <v>315.24</v>
      </c>
      <c r="F12" s="12">
        <v>315.24</v>
      </c>
      <c r="G12" s="12">
        <v>315.24</v>
      </c>
      <c r="H12" s="12">
        <v>315.24</v>
      </c>
      <c r="I12" s="12">
        <v>315.24</v>
      </c>
      <c r="J12" s="12">
        <v>315.24</v>
      </c>
      <c r="K12" s="12">
        <v>315.24</v>
      </c>
      <c r="L12" s="12">
        <v>315.29000000000002</v>
      </c>
      <c r="M12" s="12">
        <v>6267.19</v>
      </c>
      <c r="N12" s="12">
        <f t="shared" si="13"/>
        <v>9734.8799999999992</v>
      </c>
    </row>
    <row r="13" spans="1:18" ht="21" customHeight="1" thickBot="1" x14ac:dyDescent="0.3">
      <c r="A13" s="3" t="s">
        <v>42</v>
      </c>
      <c r="B13" s="12">
        <v>7392</v>
      </c>
      <c r="C13" s="12">
        <v>7392</v>
      </c>
      <c r="D13" s="12">
        <v>7392</v>
      </c>
      <c r="E13" s="12">
        <v>7392</v>
      </c>
      <c r="F13" s="12">
        <v>7392</v>
      </c>
      <c r="G13" s="12">
        <v>7392</v>
      </c>
      <c r="H13" s="12">
        <v>7392</v>
      </c>
      <c r="I13" s="12">
        <v>7392</v>
      </c>
      <c r="J13" s="12">
        <v>7392</v>
      </c>
      <c r="K13" s="12">
        <v>7392</v>
      </c>
      <c r="L13" s="12">
        <v>7392</v>
      </c>
      <c r="M13" s="12">
        <v>7392</v>
      </c>
      <c r="N13" s="12">
        <f t="shared" si="13"/>
        <v>88704</v>
      </c>
    </row>
    <row r="14" spans="1:18" ht="21" hidden="1" customHeight="1" thickBot="1" x14ac:dyDescent="0.3">
      <c r="A14" s="3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>
        <f t="shared" si="13"/>
        <v>0</v>
      </c>
    </row>
    <row r="15" spans="1:18" ht="20.25" customHeight="1" thickBot="1" x14ac:dyDescent="0.3">
      <c r="A15" s="13" t="s">
        <v>8</v>
      </c>
      <c r="B15" s="14">
        <f>SUM(B16:B22)</f>
        <v>63712.76999999999</v>
      </c>
      <c r="C15" s="14">
        <f t="shared" ref="C15:M15" si="14">SUM(C16:C22)</f>
        <v>80591.569999999978</v>
      </c>
      <c r="D15" s="14">
        <f t="shared" si="14"/>
        <v>68135.510000000009</v>
      </c>
      <c r="E15" s="14">
        <f t="shared" si="14"/>
        <v>69520.95</v>
      </c>
      <c r="F15" s="14">
        <f t="shared" si="14"/>
        <v>70244.28</v>
      </c>
      <c r="G15" s="14">
        <f t="shared" si="14"/>
        <v>72457.969999999987</v>
      </c>
      <c r="H15" s="14">
        <f t="shared" si="14"/>
        <v>67637.02</v>
      </c>
      <c r="I15" s="14">
        <f t="shared" si="14"/>
        <v>76787.459999999992</v>
      </c>
      <c r="J15" s="14">
        <f t="shared" si="14"/>
        <v>92298.840000000011</v>
      </c>
      <c r="K15" s="14">
        <f t="shared" si="14"/>
        <v>63928.329999999987</v>
      </c>
      <c r="L15" s="14">
        <f t="shared" si="14"/>
        <v>68553.02</v>
      </c>
      <c r="M15" s="14">
        <f t="shared" si="14"/>
        <v>71300.06</v>
      </c>
      <c r="N15" s="14">
        <f>SUM(B15:M15)</f>
        <v>865167.7799999998</v>
      </c>
    </row>
    <row r="16" spans="1:18" ht="24" customHeight="1" thickBot="1" x14ac:dyDescent="0.3">
      <c r="A16" s="3" t="s">
        <v>27</v>
      </c>
      <c r="B16" s="12">
        <f>55371.81+1335.39</f>
        <v>56707.199999999997</v>
      </c>
      <c r="C16" s="12">
        <f>68861.23+1736.53</f>
        <v>70597.759999999995</v>
      </c>
      <c r="D16" s="12">
        <f>55018.12+1329.3</f>
        <v>56347.420000000006</v>
      </c>
      <c r="E16" s="12">
        <f>53860.35+1469.06</f>
        <v>55329.409999999996</v>
      </c>
      <c r="F16" s="12">
        <f>55315.93+1374.01</f>
        <v>56689.94</v>
      </c>
      <c r="G16" s="12">
        <f>62383.79+1534.39</f>
        <v>63918.18</v>
      </c>
      <c r="H16" s="12">
        <f>56467.13+1505.48</f>
        <v>57972.61</v>
      </c>
      <c r="I16" s="12">
        <f>66983.69+1514.79</f>
        <v>68498.48</v>
      </c>
      <c r="J16" s="12">
        <f>78653.29+1685.72</f>
        <v>80339.009999999995</v>
      </c>
      <c r="K16" s="12">
        <f>54354.64+1195.17</f>
        <v>55549.81</v>
      </c>
      <c r="L16" s="12">
        <f>57195.03+1261.15</f>
        <v>58456.18</v>
      </c>
      <c r="M16" s="12">
        <f>58451.11+1288.15</f>
        <v>59739.26</v>
      </c>
      <c r="N16" s="12">
        <f>SUM(B16:M16)</f>
        <v>740145.25999999989</v>
      </c>
    </row>
    <row r="17" spans="1:14" ht="24" customHeight="1" thickBot="1" x14ac:dyDescent="0.3">
      <c r="A17" s="3" t="s">
        <v>17</v>
      </c>
      <c r="B17" s="12">
        <v>0</v>
      </c>
      <c r="C17" s="12">
        <v>0</v>
      </c>
      <c r="D17" s="12">
        <v>0</v>
      </c>
      <c r="E17" s="12">
        <v>0</v>
      </c>
      <c r="F17" s="12">
        <v>2011.27</v>
      </c>
      <c r="G17" s="12">
        <v>104.95</v>
      </c>
      <c r="H17" s="12">
        <v>18.170000000000002</v>
      </c>
      <c r="I17" s="12">
        <v>43.51</v>
      </c>
      <c r="J17" s="12">
        <v>82.88</v>
      </c>
      <c r="K17" s="12">
        <v>0.31</v>
      </c>
      <c r="L17" s="12">
        <v>0</v>
      </c>
      <c r="M17" s="12">
        <v>0</v>
      </c>
      <c r="N17" s="12">
        <f t="shared" ref="N17:N22" si="15">SUM(B17:M17)</f>
        <v>2261.09</v>
      </c>
    </row>
    <row r="18" spans="1:14" ht="24" customHeight="1" thickBot="1" x14ac:dyDescent="0.3">
      <c r="A18" s="3" t="s">
        <v>18</v>
      </c>
      <c r="B18" s="12">
        <v>487.34</v>
      </c>
      <c r="C18" s="12">
        <v>108.26</v>
      </c>
      <c r="D18" s="12">
        <v>3677.68</v>
      </c>
      <c r="E18" s="12">
        <v>3794.04</v>
      </c>
      <c r="F18" s="12">
        <v>4383.55</v>
      </c>
      <c r="G18" s="12">
        <v>645.14</v>
      </c>
      <c r="H18" s="12">
        <v>307.95999999999998</v>
      </c>
      <c r="I18" s="12">
        <v>460.22</v>
      </c>
      <c r="J18" s="12">
        <v>2005.2</v>
      </c>
      <c r="K18" s="12">
        <v>1651.52</v>
      </c>
      <c r="L18" s="12">
        <v>1481.76</v>
      </c>
      <c r="M18" s="12">
        <v>1998.34</v>
      </c>
      <c r="N18" s="12">
        <f t="shared" si="15"/>
        <v>21001.009999999995</v>
      </c>
    </row>
    <row r="19" spans="1:14" ht="24" customHeight="1" thickBot="1" x14ac:dyDescent="0.3">
      <c r="A19" s="3" t="s">
        <v>19</v>
      </c>
      <c r="B19" s="12">
        <v>30.76</v>
      </c>
      <c r="C19" s="12">
        <v>1461.89</v>
      </c>
      <c r="D19" s="12">
        <v>759.91</v>
      </c>
      <c r="E19" s="12">
        <v>3263.9</v>
      </c>
      <c r="F19" s="12">
        <v>441.04</v>
      </c>
      <c r="G19" s="12">
        <v>191.02</v>
      </c>
      <c r="H19" s="12">
        <v>2630.73</v>
      </c>
      <c r="I19" s="12">
        <v>268.41000000000003</v>
      </c>
      <c r="J19" s="12">
        <v>378.96</v>
      </c>
      <c r="K19" s="12">
        <v>1.28</v>
      </c>
      <c r="L19" s="12">
        <v>1675.32</v>
      </c>
      <c r="M19" s="12">
        <v>2512.12</v>
      </c>
      <c r="N19" s="12">
        <f t="shared" si="15"/>
        <v>13615.34</v>
      </c>
    </row>
    <row r="20" spans="1:14" ht="24" customHeight="1" thickBot="1" x14ac:dyDescent="0.3">
      <c r="A20" s="3" t="s">
        <v>25</v>
      </c>
      <c r="B20" s="12">
        <v>278.95</v>
      </c>
      <c r="C20" s="12">
        <v>345.18</v>
      </c>
      <c r="D20" s="12">
        <v>275.39999999999998</v>
      </c>
      <c r="E20" s="12">
        <v>269.58999999999997</v>
      </c>
      <c r="F20" s="12">
        <v>276.89</v>
      </c>
      <c r="G20" s="12">
        <v>312.27999999999997</v>
      </c>
      <c r="H20" s="12">
        <v>282.68</v>
      </c>
      <c r="I20" s="12">
        <v>335.4</v>
      </c>
      <c r="J20" s="12">
        <v>393.77</v>
      </c>
      <c r="K20" s="12">
        <v>272.06</v>
      </c>
      <c r="L20" s="12">
        <v>286.27999999999997</v>
      </c>
      <c r="M20" s="12">
        <v>292.62</v>
      </c>
      <c r="N20" s="12">
        <f t="shared" si="15"/>
        <v>3621.0999999999995</v>
      </c>
    </row>
    <row r="21" spans="1:14" ht="24" customHeight="1" thickBot="1" x14ac:dyDescent="0.3">
      <c r="A21" s="3" t="s">
        <v>42</v>
      </c>
      <c r="B21" s="12">
        <v>6208.52</v>
      </c>
      <c r="C21" s="12">
        <v>8078.48</v>
      </c>
      <c r="D21" s="12">
        <v>7075.1</v>
      </c>
      <c r="E21" s="12">
        <v>6864.01</v>
      </c>
      <c r="F21" s="12">
        <v>6441.59</v>
      </c>
      <c r="G21" s="12">
        <v>7286.4</v>
      </c>
      <c r="H21" s="12">
        <v>6424.87</v>
      </c>
      <c r="I21" s="12">
        <v>7181.44</v>
      </c>
      <c r="J21" s="12">
        <v>9099.02</v>
      </c>
      <c r="K21" s="12">
        <v>6453.35</v>
      </c>
      <c r="L21" s="12">
        <v>6653.48</v>
      </c>
      <c r="M21" s="12">
        <v>6757.72</v>
      </c>
      <c r="N21" s="12">
        <f t="shared" si="15"/>
        <v>84523.98000000001</v>
      </c>
    </row>
    <row r="22" spans="1:14" ht="24" hidden="1" customHeight="1" thickBot="1" x14ac:dyDescent="0.3">
      <c r="A22" s="3" t="s">
        <v>15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>
        <f t="shared" si="15"/>
        <v>0</v>
      </c>
    </row>
    <row r="23" spans="1:14" ht="24" customHeight="1" thickBot="1" x14ac:dyDescent="0.3">
      <c r="A23" s="4" t="s">
        <v>24</v>
      </c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4"/>
    </row>
    <row r="24" spans="1:14" ht="24" customHeight="1" thickBot="1" x14ac:dyDescent="0.3">
      <c r="A24" s="3" t="s">
        <v>1</v>
      </c>
      <c r="B24" s="12">
        <f t="shared" ref="B24:K24" si="16">3386*0.55</f>
        <v>1862.3000000000002</v>
      </c>
      <c r="C24" s="12">
        <f t="shared" si="16"/>
        <v>1862.3000000000002</v>
      </c>
      <c r="D24" s="12">
        <f t="shared" si="16"/>
        <v>1862.3000000000002</v>
      </c>
      <c r="E24" s="12">
        <f t="shared" si="16"/>
        <v>1862.3000000000002</v>
      </c>
      <c r="F24" s="12">
        <f t="shared" si="16"/>
        <v>1862.3000000000002</v>
      </c>
      <c r="G24" s="12">
        <f t="shared" si="16"/>
        <v>1862.3000000000002</v>
      </c>
      <c r="H24" s="12">
        <f t="shared" si="16"/>
        <v>1862.3000000000002</v>
      </c>
      <c r="I24" s="12">
        <f t="shared" si="16"/>
        <v>1862.3000000000002</v>
      </c>
      <c r="J24" s="12">
        <f t="shared" si="16"/>
        <v>1862.3000000000002</v>
      </c>
      <c r="K24" s="12">
        <f t="shared" si="16"/>
        <v>1862.3000000000002</v>
      </c>
      <c r="L24" s="12">
        <f>3386*0.6</f>
        <v>2031.6</v>
      </c>
      <c r="M24" s="12">
        <f>3386*0.6</f>
        <v>2031.6</v>
      </c>
      <c r="N24" s="12">
        <f t="shared" ref="N24:N37" si="17">SUM(B24:M24)</f>
        <v>22686.199999999993</v>
      </c>
    </row>
    <row r="25" spans="1:14" ht="24" customHeight="1" thickBot="1" x14ac:dyDescent="0.3">
      <c r="A25" s="3" t="s">
        <v>2</v>
      </c>
      <c r="B25" s="12">
        <f t="shared" ref="B25:M25" si="18">3386*0.17</f>
        <v>575.62</v>
      </c>
      <c r="C25" s="12">
        <f t="shared" si="18"/>
        <v>575.62</v>
      </c>
      <c r="D25" s="12">
        <f t="shared" si="18"/>
        <v>575.62</v>
      </c>
      <c r="E25" s="12">
        <f t="shared" si="18"/>
        <v>575.62</v>
      </c>
      <c r="F25" s="12">
        <f t="shared" si="18"/>
        <v>575.62</v>
      </c>
      <c r="G25" s="12">
        <f t="shared" si="18"/>
        <v>575.62</v>
      </c>
      <c r="H25" s="12">
        <f t="shared" si="18"/>
        <v>575.62</v>
      </c>
      <c r="I25" s="12">
        <f t="shared" si="18"/>
        <v>575.62</v>
      </c>
      <c r="J25" s="12">
        <f t="shared" si="18"/>
        <v>575.62</v>
      </c>
      <c r="K25" s="12">
        <f t="shared" si="18"/>
        <v>575.62</v>
      </c>
      <c r="L25" s="12">
        <f t="shared" si="18"/>
        <v>575.62</v>
      </c>
      <c r="M25" s="12">
        <f t="shared" si="18"/>
        <v>575.62</v>
      </c>
      <c r="N25" s="12">
        <f t="shared" si="17"/>
        <v>6907.44</v>
      </c>
    </row>
    <row r="26" spans="1:14" ht="24" customHeight="1" thickBot="1" x14ac:dyDescent="0.3">
      <c r="A26" s="3" t="s">
        <v>3</v>
      </c>
      <c r="B26" s="12">
        <f>73958.92*2.3%</f>
        <v>1701.0551599999999</v>
      </c>
      <c r="C26" s="12">
        <f>77424.8*2.3%</f>
        <v>1780.7704000000001</v>
      </c>
      <c r="D26" s="12">
        <f>80715.6*2.3%</f>
        <v>1856.4588000000001</v>
      </c>
      <c r="E26" s="12">
        <f>79999.15*2.3%</f>
        <v>1839.9804499999998</v>
      </c>
      <c r="F26" s="12">
        <f>72474.29*2.3%</f>
        <v>1666.9086699999998</v>
      </c>
      <c r="G26" s="12">
        <f>75556.83*2.3%</f>
        <v>1737.80709</v>
      </c>
      <c r="H26" s="12">
        <f>72474.29*2.3%</f>
        <v>1666.9086699999998</v>
      </c>
      <c r="I26" s="12">
        <f>73685.33*2.3%</f>
        <v>1694.76259</v>
      </c>
      <c r="J26" s="12">
        <f>73987.1*2.3%</f>
        <v>1701.7033000000001</v>
      </c>
      <c r="K26" s="12">
        <f>75665.04*2.3%</f>
        <v>1740.2959199999998</v>
      </c>
      <c r="L26" s="12">
        <f>77012.88*2.3%</f>
        <v>1771.2962400000001</v>
      </c>
      <c r="M26" s="12">
        <f>87401.91*2.3%</f>
        <v>2010.2439300000001</v>
      </c>
      <c r="N26" s="12">
        <f t="shared" si="17"/>
        <v>21168.191220000001</v>
      </c>
    </row>
    <row r="27" spans="1:14" ht="24" customHeight="1" thickBot="1" x14ac:dyDescent="0.3">
      <c r="A27" s="3" t="s">
        <v>4</v>
      </c>
      <c r="B27" s="12">
        <f>63712.77*3%</f>
        <v>1911.3830999999998</v>
      </c>
      <c r="C27" s="12">
        <f>80591.57*3%</f>
        <v>2417.7471</v>
      </c>
      <c r="D27" s="12">
        <f>68135.51*3%</f>
        <v>2044.0652999999998</v>
      </c>
      <c r="E27" s="12">
        <f>69520.95*3%</f>
        <v>2085.6284999999998</v>
      </c>
      <c r="F27" s="12">
        <f>70244.28*3%</f>
        <v>2107.3283999999999</v>
      </c>
      <c r="G27" s="12">
        <f>72457.97*3%</f>
        <v>2173.7390999999998</v>
      </c>
      <c r="H27" s="12">
        <f>67637.02*3%</f>
        <v>2029.1106</v>
      </c>
      <c r="I27" s="12">
        <f>76787.46*3%</f>
        <v>2303.6238000000003</v>
      </c>
      <c r="J27" s="12">
        <f>92298.84*3%</f>
        <v>2768.9651999999996</v>
      </c>
      <c r="K27" s="12">
        <f>63928.33*3%</f>
        <v>1917.8498999999999</v>
      </c>
      <c r="L27" s="12">
        <f>68553.02*3%</f>
        <v>2056.5906</v>
      </c>
      <c r="M27" s="12">
        <f>71300.06*3%</f>
        <v>2139.0018</v>
      </c>
      <c r="N27" s="12">
        <f t="shared" si="17"/>
        <v>25955.0334</v>
      </c>
    </row>
    <row r="28" spans="1:14" ht="24" customHeight="1" thickBot="1" x14ac:dyDescent="0.3">
      <c r="A28" s="3" t="s">
        <v>9</v>
      </c>
      <c r="B28" s="12">
        <f t="shared" ref="B28:G28" si="19">3386*8.5</f>
        <v>28781</v>
      </c>
      <c r="C28" s="12">
        <f t="shared" si="19"/>
        <v>28781</v>
      </c>
      <c r="D28" s="12">
        <f t="shared" si="19"/>
        <v>28781</v>
      </c>
      <c r="E28" s="12">
        <f t="shared" si="19"/>
        <v>28781</v>
      </c>
      <c r="F28" s="12">
        <f t="shared" si="19"/>
        <v>28781</v>
      </c>
      <c r="G28" s="12">
        <f t="shared" si="19"/>
        <v>28781</v>
      </c>
      <c r="H28" s="12">
        <f>3386*9.7</f>
        <v>32844.199999999997</v>
      </c>
      <c r="I28" s="12">
        <f t="shared" ref="I28:M28" si="20">3386*9.7</f>
        <v>32844.199999999997</v>
      </c>
      <c r="J28" s="12">
        <f t="shared" si="20"/>
        <v>32844.199999999997</v>
      </c>
      <c r="K28" s="12">
        <f t="shared" si="20"/>
        <v>32844.199999999997</v>
      </c>
      <c r="L28" s="12">
        <f t="shared" si="20"/>
        <v>32844.199999999997</v>
      </c>
      <c r="M28" s="12">
        <f t="shared" si="20"/>
        <v>32844.199999999997</v>
      </c>
      <c r="N28" s="12">
        <f t="shared" si="17"/>
        <v>369751.20000000007</v>
      </c>
    </row>
    <row r="29" spans="1:14" ht="24" customHeight="1" thickBot="1" x14ac:dyDescent="0.3">
      <c r="A29" s="3" t="s">
        <v>20</v>
      </c>
      <c r="B29" s="12">
        <v>0</v>
      </c>
      <c r="C29" s="12">
        <v>0</v>
      </c>
      <c r="D29" s="12">
        <f>2391.76+0</f>
        <v>2391.7600000000002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f>0+0.02</f>
        <v>0.02</v>
      </c>
      <c r="M29" s="12">
        <v>0</v>
      </c>
      <c r="N29" s="12">
        <f t="shared" si="17"/>
        <v>2391.7800000000002</v>
      </c>
    </row>
    <row r="30" spans="1:14" ht="24" customHeight="1" thickBot="1" x14ac:dyDescent="0.3">
      <c r="A30" s="3" t="s">
        <v>21</v>
      </c>
      <c r="B30" s="12">
        <v>4326.2299999999996</v>
      </c>
      <c r="C30" s="12">
        <v>4507.5200000000004</v>
      </c>
      <c r="D30" s="12">
        <v>5013.08</v>
      </c>
      <c r="E30" s="12">
        <v>229.91</v>
      </c>
      <c r="F30" s="12">
        <v>229.91</v>
      </c>
      <c r="G30" s="12">
        <v>229.91</v>
      </c>
      <c r="H30" s="12">
        <v>1610.2</v>
      </c>
      <c r="I30" s="12">
        <v>1912</v>
      </c>
      <c r="J30" s="12">
        <v>1619.59</v>
      </c>
      <c r="K30" s="12">
        <v>2185.81</v>
      </c>
      <c r="L30" s="12">
        <v>5415.62</v>
      </c>
      <c r="M30" s="12">
        <v>9448.98</v>
      </c>
      <c r="N30" s="12">
        <f t="shared" si="17"/>
        <v>36728.76</v>
      </c>
    </row>
    <row r="31" spans="1:14" ht="24" customHeight="1" thickBot="1" x14ac:dyDescent="0.3">
      <c r="A31" s="3" t="s">
        <v>22</v>
      </c>
      <c r="B31" s="12">
        <v>855.01</v>
      </c>
      <c r="C31" s="12">
        <v>3964.5</v>
      </c>
      <c r="D31" s="12">
        <v>351</v>
      </c>
      <c r="E31" s="12">
        <v>0</v>
      </c>
      <c r="F31" s="12">
        <v>3082.49</v>
      </c>
      <c r="G31" s="12">
        <v>0</v>
      </c>
      <c r="H31" s="12">
        <v>0</v>
      </c>
      <c r="I31" s="12">
        <v>0</v>
      </c>
      <c r="J31" s="12">
        <v>1970.28</v>
      </c>
      <c r="K31" s="12">
        <v>2751.84</v>
      </c>
      <c r="L31" s="12">
        <v>3959.28</v>
      </c>
      <c r="M31" s="12">
        <v>7160.39</v>
      </c>
      <c r="N31" s="12">
        <f t="shared" si="17"/>
        <v>24094.79</v>
      </c>
    </row>
    <row r="32" spans="1:14" ht="20.25" customHeight="1" thickBot="1" x14ac:dyDescent="0.3">
      <c r="A32" s="3" t="s">
        <v>25</v>
      </c>
      <c r="B32" s="12">
        <v>315.24</v>
      </c>
      <c r="C32" s="12">
        <v>315.24</v>
      </c>
      <c r="D32" s="12">
        <v>315.24</v>
      </c>
      <c r="E32" s="12">
        <v>315.24</v>
      </c>
      <c r="F32" s="12">
        <v>315.24</v>
      </c>
      <c r="G32" s="12">
        <v>315.24</v>
      </c>
      <c r="H32" s="12">
        <v>315.24</v>
      </c>
      <c r="I32" s="12">
        <v>315.24</v>
      </c>
      <c r="J32" s="12">
        <v>315.24</v>
      </c>
      <c r="K32" s="12">
        <f>2007.87+0</f>
        <v>2007.87</v>
      </c>
      <c r="L32" s="12">
        <f>5365.25+901.28</f>
        <v>6266.53</v>
      </c>
      <c r="M32" s="12">
        <v>9116.2900000000009</v>
      </c>
      <c r="N32" s="12">
        <f t="shared" si="17"/>
        <v>20227.849999999999</v>
      </c>
    </row>
    <row r="33" spans="1:14" ht="21" customHeight="1" thickBot="1" x14ac:dyDescent="0.3">
      <c r="A33" s="3" t="s">
        <v>6</v>
      </c>
      <c r="B33" s="12">
        <f t="shared" ref="B33:M33" si="21">3386*2.79</f>
        <v>9446.94</v>
      </c>
      <c r="C33" s="12">
        <f t="shared" si="21"/>
        <v>9446.94</v>
      </c>
      <c r="D33" s="12">
        <f t="shared" si="21"/>
        <v>9446.94</v>
      </c>
      <c r="E33" s="12">
        <f t="shared" si="21"/>
        <v>9446.94</v>
      </c>
      <c r="F33" s="12">
        <f t="shared" si="21"/>
        <v>9446.94</v>
      </c>
      <c r="G33" s="12">
        <f t="shared" si="21"/>
        <v>9446.94</v>
      </c>
      <c r="H33" s="12">
        <f t="shared" si="21"/>
        <v>9446.94</v>
      </c>
      <c r="I33" s="12">
        <f t="shared" si="21"/>
        <v>9446.94</v>
      </c>
      <c r="J33" s="12">
        <f t="shared" si="21"/>
        <v>9446.94</v>
      </c>
      <c r="K33" s="12">
        <f t="shared" si="21"/>
        <v>9446.94</v>
      </c>
      <c r="L33" s="12">
        <f t="shared" si="21"/>
        <v>9446.94</v>
      </c>
      <c r="M33" s="12">
        <f t="shared" si="21"/>
        <v>9446.94</v>
      </c>
      <c r="N33" s="12">
        <f t="shared" si="17"/>
        <v>113363.28000000001</v>
      </c>
    </row>
    <row r="34" spans="1:14" ht="23.4" customHeight="1" thickBot="1" x14ac:dyDescent="0.3">
      <c r="A34" s="5" t="s">
        <v>42</v>
      </c>
      <c r="B34" s="15">
        <v>5880</v>
      </c>
      <c r="C34" s="15">
        <v>7650</v>
      </c>
      <c r="D34" s="15">
        <v>6400</v>
      </c>
      <c r="E34" s="15">
        <v>6600</v>
      </c>
      <c r="F34" s="15">
        <v>6000</v>
      </c>
      <c r="G34" s="15">
        <v>6715</v>
      </c>
      <c r="H34" s="15">
        <v>6185</v>
      </c>
      <c r="I34" s="15">
        <v>7085</v>
      </c>
      <c r="J34" s="15">
        <v>8315</v>
      </c>
      <c r="K34" s="15">
        <v>6310</v>
      </c>
      <c r="L34" s="15">
        <v>6400</v>
      </c>
      <c r="M34" s="15">
        <v>6300</v>
      </c>
      <c r="N34" s="12">
        <f t="shared" si="17"/>
        <v>79840</v>
      </c>
    </row>
    <row r="35" spans="1:14" ht="23.4" customHeight="1" thickBot="1" x14ac:dyDescent="0.3">
      <c r="A35" s="3" t="s">
        <v>43</v>
      </c>
      <c r="B35" s="12">
        <v>1000</v>
      </c>
      <c r="C35" s="12">
        <v>1000</v>
      </c>
      <c r="D35" s="12">
        <v>1000</v>
      </c>
      <c r="E35" s="12">
        <v>1000</v>
      </c>
      <c r="F35" s="12">
        <v>800</v>
      </c>
      <c r="G35" s="12">
        <v>1100</v>
      </c>
      <c r="H35" s="12">
        <v>1100</v>
      </c>
      <c r="I35" s="12">
        <v>1100</v>
      </c>
      <c r="J35" s="12">
        <v>1100</v>
      </c>
      <c r="K35" s="12">
        <v>1100</v>
      </c>
      <c r="L35" s="12">
        <v>1100</v>
      </c>
      <c r="M35" s="12">
        <v>1100</v>
      </c>
      <c r="N35" s="12">
        <f t="shared" si="17"/>
        <v>12500</v>
      </c>
    </row>
    <row r="36" spans="1:14" ht="23.4" customHeight="1" thickBot="1" x14ac:dyDescent="0.3">
      <c r="A36" s="3" t="s">
        <v>14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14627.52</v>
      </c>
      <c r="L36" s="12">
        <v>0</v>
      </c>
      <c r="M36" s="12">
        <v>0</v>
      </c>
      <c r="N36" s="12">
        <f t="shared" si="17"/>
        <v>14627.52</v>
      </c>
    </row>
    <row r="37" spans="1:14" ht="21" customHeight="1" thickBot="1" x14ac:dyDescent="0.3">
      <c r="A37" s="3" t="s">
        <v>10</v>
      </c>
      <c r="B37" s="12">
        <f>4121.3+30333.8</f>
        <v>34455.1</v>
      </c>
      <c r="C37" s="12">
        <f>105+1040.7+3437+2081.3+3122</f>
        <v>9786</v>
      </c>
      <c r="D37" s="12">
        <f>4356.7</f>
        <v>4356.7</v>
      </c>
      <c r="E37" s="12">
        <f>2602.1+95+3432.4+1169.3+43466.4</f>
        <v>50765.200000000004</v>
      </c>
      <c r="F37" s="12">
        <f>14048.54</f>
        <v>14048.54</v>
      </c>
      <c r="G37" s="12">
        <f>105+739.7+1792.1+1204.3+1649</f>
        <v>5490.1</v>
      </c>
      <c r="H37" s="12">
        <f>3388.6+176851.33</f>
        <v>180239.93</v>
      </c>
      <c r="I37" s="12">
        <f>255+6975.1+13975.6+4783.3</f>
        <v>25989</v>
      </c>
      <c r="J37" s="12">
        <f>1232.6+10139.1+85</f>
        <v>11456.7</v>
      </c>
      <c r="K37" s="12">
        <f>85+1142.7</f>
        <v>1227.7</v>
      </c>
      <c r="L37" s="12">
        <f>3357.7+2431.8+14364</f>
        <v>20153.5</v>
      </c>
      <c r="M37" s="12">
        <f>1849+210+839.4</f>
        <v>2898.4</v>
      </c>
      <c r="N37" s="12">
        <f t="shared" si="17"/>
        <v>360866.87000000005</v>
      </c>
    </row>
    <row r="38" spans="1:14" ht="22.5" customHeight="1" thickBot="1" x14ac:dyDescent="0.3">
      <c r="A38" s="10" t="s">
        <v>23</v>
      </c>
      <c r="B38" s="11">
        <f t="shared" ref="B38:M38" si="22">SUM(B24:B37)</f>
        <v>91109.878259999998</v>
      </c>
      <c r="C38" s="11">
        <f t="shared" si="22"/>
        <v>72087.637500000012</v>
      </c>
      <c r="D38" s="11">
        <f t="shared" si="22"/>
        <v>64394.164100000002</v>
      </c>
      <c r="E38" s="11">
        <f t="shared" si="22"/>
        <v>103501.81895000002</v>
      </c>
      <c r="F38" s="11">
        <f t="shared" si="22"/>
        <v>68916.277070000011</v>
      </c>
      <c r="G38" s="11">
        <f t="shared" si="22"/>
        <v>58427.656190000002</v>
      </c>
      <c r="H38" s="11">
        <f t="shared" si="22"/>
        <v>237875.44926999998</v>
      </c>
      <c r="I38" s="11">
        <f t="shared" si="22"/>
        <v>85128.686389999988</v>
      </c>
      <c r="J38" s="11">
        <f t="shared" si="22"/>
        <v>73976.538499999995</v>
      </c>
      <c r="K38" s="11">
        <f t="shared" si="22"/>
        <v>78597.945819999994</v>
      </c>
      <c r="L38" s="11">
        <f t="shared" si="22"/>
        <v>92021.19683999999</v>
      </c>
      <c r="M38" s="11">
        <f t="shared" si="22"/>
        <v>85071.665729999979</v>
      </c>
      <c r="N38" s="11">
        <f>SUM(B38:M38)</f>
        <v>1111108.9146199999</v>
      </c>
    </row>
    <row r="39" spans="1:14" ht="23.25" customHeight="1" thickBot="1" x14ac:dyDescent="0.3">
      <c r="A39" s="3" t="s">
        <v>5</v>
      </c>
      <c r="B39" s="16">
        <f t="shared" ref="B39:N39" si="23">B15-B38</f>
        <v>-27397.108260000008</v>
      </c>
      <c r="C39" s="16">
        <f t="shared" si="23"/>
        <v>8503.9324999999662</v>
      </c>
      <c r="D39" s="16">
        <f t="shared" si="23"/>
        <v>3741.3459000000075</v>
      </c>
      <c r="E39" s="16">
        <f t="shared" si="23"/>
        <v>-33980.868950000018</v>
      </c>
      <c r="F39" s="16">
        <f t="shared" si="23"/>
        <v>1328.0029299999878</v>
      </c>
      <c r="G39" s="16">
        <f t="shared" si="23"/>
        <v>14030.313809999985</v>
      </c>
      <c r="H39" s="16">
        <f t="shared" si="23"/>
        <v>-170238.42926999996</v>
      </c>
      <c r="I39" s="16">
        <f t="shared" si="23"/>
        <v>-8341.2263899999962</v>
      </c>
      <c r="J39" s="16">
        <f t="shared" si="23"/>
        <v>18322.301500000016</v>
      </c>
      <c r="K39" s="16">
        <f t="shared" si="23"/>
        <v>-14669.615820000006</v>
      </c>
      <c r="L39" s="16">
        <f t="shared" si="23"/>
        <v>-23468.176839999986</v>
      </c>
      <c r="M39" s="16">
        <f t="shared" si="23"/>
        <v>-13771.605729999981</v>
      </c>
      <c r="N39" s="12">
        <f t="shared" si="23"/>
        <v>-245941.13462000014</v>
      </c>
    </row>
    <row r="40" spans="1:14" ht="23.25" customHeight="1" thickBot="1" x14ac:dyDescent="0.3">
      <c r="A40" s="3" t="s">
        <v>7</v>
      </c>
      <c r="B40" s="17">
        <f t="shared" ref="B40:M40" si="24">B5+B39</f>
        <v>-112788.09826000001</v>
      </c>
      <c r="C40" s="17">
        <f t="shared" si="24"/>
        <v>-104284.16576000005</v>
      </c>
      <c r="D40" s="17">
        <f t="shared" si="24"/>
        <v>-100542.81986000005</v>
      </c>
      <c r="E40" s="17">
        <f t="shared" si="24"/>
        <v>-134523.68881000008</v>
      </c>
      <c r="F40" s="17">
        <f t="shared" si="24"/>
        <v>-133195.68588000009</v>
      </c>
      <c r="G40" s="17">
        <f t="shared" si="24"/>
        <v>-119165.3720700001</v>
      </c>
      <c r="H40" s="17">
        <f t="shared" si="24"/>
        <v>-289403.80134000006</v>
      </c>
      <c r="I40" s="17">
        <f t="shared" si="24"/>
        <v>-297745.02773000009</v>
      </c>
      <c r="J40" s="17">
        <f t="shared" si="24"/>
        <v>-279422.72623000009</v>
      </c>
      <c r="K40" s="17">
        <f t="shared" si="24"/>
        <v>-294092.34205000009</v>
      </c>
      <c r="L40" s="17">
        <f t="shared" si="24"/>
        <v>-317560.51889000006</v>
      </c>
      <c r="M40" s="17">
        <f t="shared" si="24"/>
        <v>-331332.12462000002</v>
      </c>
      <c r="N40" s="16">
        <f>N5-N38+N15</f>
        <v>-331332.12462000013</v>
      </c>
    </row>
    <row r="41" spans="1:14" ht="27" customHeight="1" thickBot="1" x14ac:dyDescent="0.3">
      <c r="A41" s="4" t="s">
        <v>11</v>
      </c>
      <c r="B41" s="18">
        <f>B6+B15-B7</f>
        <v>-112617.57</v>
      </c>
      <c r="C41" s="18">
        <f t="shared" ref="C41:N41" si="25">C6+C15-C7</f>
        <v>-109450.80000000002</v>
      </c>
      <c r="D41" s="18">
        <f t="shared" si="25"/>
        <v>-122030.89000000001</v>
      </c>
      <c r="E41" s="18">
        <f t="shared" si="25"/>
        <v>-132509.09000000003</v>
      </c>
      <c r="F41" s="18">
        <f t="shared" si="25"/>
        <v>-134739.10000000003</v>
      </c>
      <c r="G41" s="18">
        <f t="shared" si="25"/>
        <v>-137837.96000000005</v>
      </c>
      <c r="H41" s="18">
        <f t="shared" si="25"/>
        <v>-142675.23000000004</v>
      </c>
      <c r="I41" s="18">
        <f t="shared" si="25"/>
        <v>-139573.10000000003</v>
      </c>
      <c r="J41" s="18">
        <f t="shared" si="25"/>
        <v>-121261.36000000003</v>
      </c>
      <c r="K41" s="18">
        <f t="shared" si="25"/>
        <v>-132998.07000000004</v>
      </c>
      <c r="L41" s="18">
        <f t="shared" si="25"/>
        <v>-141457.93000000002</v>
      </c>
      <c r="M41" s="18">
        <f t="shared" si="25"/>
        <v>-157559.78000000003</v>
      </c>
      <c r="N41" s="19">
        <f t="shared" si="25"/>
        <v>-157559.78000000026</v>
      </c>
    </row>
  </sheetData>
  <mergeCells count="2">
    <mergeCell ref="A1:N1"/>
    <mergeCell ref="B23:N23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2023-03-02T04:22:25Z</cp:lastPrinted>
  <dcterms:created xsi:type="dcterms:W3CDTF">2011-06-06T03:25:48Z</dcterms:created>
  <dcterms:modified xsi:type="dcterms:W3CDTF">2023-03-21T02:47:01Z</dcterms:modified>
</cp:coreProperties>
</file>