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56" windowWidth="17496" windowHeight="10932"/>
  </bookViews>
  <sheets>
    <sheet name="2023" sheetId="1" r:id="rId1"/>
  </sheets>
  <calcPr calcId="144525" refMode="R1C1"/>
</workbook>
</file>

<file path=xl/calcChain.xml><?xml version="1.0" encoding="utf-8"?>
<calcChain xmlns="http://schemas.openxmlformats.org/spreadsheetml/2006/main">
  <c r="K37" i="1" l="1"/>
  <c r="M37" i="1" l="1"/>
  <c r="L37" i="1" l="1"/>
  <c r="M27" i="1" l="1"/>
  <c r="M16" i="1"/>
  <c r="M26" i="1"/>
  <c r="M8" i="1"/>
  <c r="L27" i="1" l="1"/>
  <c r="L16" i="1"/>
  <c r="L26" i="1"/>
  <c r="L8" i="1"/>
  <c r="K27" i="1" l="1"/>
  <c r="K16" i="1"/>
  <c r="K26" i="1"/>
  <c r="K8" i="1"/>
  <c r="L33" i="1" l="1"/>
  <c r="M33" i="1"/>
  <c r="K33" i="1"/>
  <c r="J33" i="1"/>
  <c r="K28" i="1"/>
  <c r="L28" i="1"/>
  <c r="M28" i="1"/>
  <c r="K25" i="1"/>
  <c r="L25" i="1"/>
  <c r="M25" i="1"/>
  <c r="K24" i="1"/>
  <c r="L24" i="1"/>
  <c r="M24" i="1"/>
  <c r="J37" i="1" l="1"/>
  <c r="H35" i="1" l="1"/>
  <c r="J29" i="1" l="1"/>
  <c r="I29" i="1"/>
  <c r="H29" i="1"/>
  <c r="H33" i="1" l="1"/>
  <c r="I33" i="1"/>
  <c r="J27" i="1" l="1"/>
  <c r="J16" i="1"/>
  <c r="J26" i="1"/>
  <c r="J8" i="1"/>
  <c r="I27" i="1" l="1"/>
  <c r="I16" i="1"/>
  <c r="I26" i="1"/>
  <c r="I8" i="1"/>
  <c r="H37" i="1" l="1"/>
  <c r="G37" i="1" l="1"/>
  <c r="H27" i="1" l="1"/>
  <c r="H16" i="1"/>
  <c r="H26" i="1"/>
  <c r="H8" i="1"/>
  <c r="H28" i="1" l="1"/>
  <c r="I28" i="1"/>
  <c r="J28" i="1"/>
  <c r="H25" i="1"/>
  <c r="I25" i="1"/>
  <c r="J25" i="1"/>
  <c r="H24" i="1"/>
  <c r="I24" i="1"/>
  <c r="J24" i="1"/>
  <c r="F37" i="1" l="1"/>
  <c r="G32" i="1" l="1"/>
  <c r="F32" i="1"/>
  <c r="E32" i="1"/>
  <c r="G27" i="1" l="1"/>
  <c r="G16" i="1"/>
  <c r="G26" i="1"/>
  <c r="G8" i="1"/>
  <c r="F27" i="1" l="1"/>
  <c r="F16" i="1"/>
  <c r="F26" i="1"/>
  <c r="F8" i="1"/>
  <c r="E27" i="1" l="1"/>
  <c r="E16" i="1"/>
  <c r="E26" i="1"/>
  <c r="E8" i="1"/>
  <c r="E37" i="1" l="1"/>
  <c r="E33" i="1" l="1"/>
  <c r="F33" i="1"/>
  <c r="G33" i="1"/>
  <c r="E28" i="1"/>
  <c r="F28" i="1"/>
  <c r="G28" i="1"/>
  <c r="E25" i="1"/>
  <c r="F25" i="1"/>
  <c r="G25" i="1"/>
  <c r="E24" i="1"/>
  <c r="F24" i="1"/>
  <c r="G24" i="1"/>
  <c r="D32" i="1" l="1"/>
  <c r="C37" i="1" l="1"/>
  <c r="D27" i="1" l="1"/>
  <c r="D16" i="1"/>
  <c r="D26" i="1"/>
  <c r="D8" i="1"/>
  <c r="C27" i="1" l="1"/>
  <c r="C16" i="1"/>
  <c r="C26" i="1"/>
  <c r="C8" i="1"/>
  <c r="B27" i="1" l="1"/>
  <c r="B16" i="1"/>
  <c r="B26" i="1"/>
  <c r="B8" i="1"/>
  <c r="C33" i="1" l="1"/>
  <c r="D33" i="1"/>
  <c r="C28" i="1"/>
  <c r="D28" i="1"/>
  <c r="C24" i="1"/>
  <c r="D24" i="1"/>
  <c r="C25" i="1"/>
  <c r="D25" i="1"/>
  <c r="B33" i="1"/>
  <c r="B28" i="1"/>
  <c r="B25" i="1"/>
  <c r="B24" i="1"/>
  <c r="N32" i="1" l="1"/>
  <c r="N33" i="1"/>
  <c r="N34" i="1"/>
  <c r="N14" i="1" l="1"/>
  <c r="N6" i="1" l="1"/>
  <c r="N5" i="1"/>
  <c r="L7" i="1" l="1"/>
  <c r="N8" i="1"/>
  <c r="N24" i="1"/>
  <c r="N25" i="1"/>
  <c r="N28" i="1"/>
  <c r="N29" i="1"/>
  <c r="N30" i="1"/>
  <c r="N31" i="1"/>
  <c r="N35" i="1"/>
  <c r="N36" i="1"/>
  <c r="N37" i="1"/>
  <c r="N17" i="1"/>
  <c r="N18" i="1"/>
  <c r="N19" i="1"/>
  <c r="N20" i="1"/>
  <c r="N21" i="1"/>
  <c r="N22" i="1"/>
  <c r="N16" i="1"/>
  <c r="K15" i="1"/>
  <c r="L15" i="1"/>
  <c r="M15" i="1"/>
  <c r="N9" i="1"/>
  <c r="N10" i="1"/>
  <c r="N11" i="1"/>
  <c r="N12" i="1"/>
  <c r="N13" i="1"/>
  <c r="K7" i="1"/>
  <c r="M7" i="1"/>
  <c r="M38" i="1" l="1"/>
  <c r="M39" i="1" s="1"/>
  <c r="L38" i="1"/>
  <c r="L39" i="1" s="1"/>
  <c r="N27" i="1"/>
  <c r="K38" i="1"/>
  <c r="C15" i="1"/>
  <c r="D15" i="1"/>
  <c r="D38" i="1" s="1"/>
  <c r="D39" i="1" s="1"/>
  <c r="E15" i="1"/>
  <c r="F15" i="1"/>
  <c r="G15" i="1"/>
  <c r="H15" i="1"/>
  <c r="I15" i="1"/>
  <c r="J15" i="1"/>
  <c r="G38" i="1" l="1"/>
  <c r="G39" i="1" s="1"/>
  <c r="J38" i="1"/>
  <c r="J39" i="1" s="1"/>
  <c r="K39" i="1"/>
  <c r="J7" i="1" l="1"/>
  <c r="I7" i="1"/>
  <c r="H7" i="1"/>
  <c r="I38" i="1" l="1"/>
  <c r="I39" i="1" s="1"/>
  <c r="H38" i="1" l="1"/>
  <c r="H39" i="1" l="1"/>
  <c r="N26" i="1"/>
  <c r="E7" i="1" l="1"/>
  <c r="F7" i="1"/>
  <c r="G7" i="1"/>
  <c r="D7" i="1"/>
  <c r="C7" i="1"/>
  <c r="B15" i="1"/>
  <c r="B7" i="1"/>
  <c r="B38" i="1" l="1"/>
  <c r="B39" i="1" s="1"/>
  <c r="B40" i="1" s="1"/>
  <c r="B41" i="1"/>
  <c r="C6" i="1" s="1"/>
  <c r="C41" i="1" s="1"/>
  <c r="N15" i="1"/>
  <c r="N7" i="1"/>
  <c r="E38" i="1"/>
  <c r="F38" i="1"/>
  <c r="F39" i="1" s="1"/>
  <c r="N41" i="1" l="1"/>
  <c r="E39" i="1"/>
  <c r="D6" i="1"/>
  <c r="D41" i="1" s="1"/>
  <c r="C38" i="1"/>
  <c r="C5" i="1"/>
  <c r="N38" i="1" l="1"/>
  <c r="E6" i="1"/>
  <c r="E41" i="1" s="1"/>
  <c r="F6" i="1" s="1"/>
  <c r="F41" i="1" s="1"/>
  <c r="C39" i="1"/>
  <c r="C40" i="1" s="1"/>
  <c r="D5" i="1" s="1"/>
  <c r="D40" i="1" s="1"/>
  <c r="N39" i="1" l="1"/>
  <c r="N40" i="1"/>
  <c r="G6" i="1"/>
  <c r="G41" i="1" s="1"/>
  <c r="E5" i="1"/>
  <c r="E40" i="1" s="1"/>
  <c r="H6" i="1" l="1"/>
  <c r="H41" i="1" s="1"/>
  <c r="F5" i="1"/>
  <c r="F40" i="1" s="1"/>
  <c r="I6" i="1" l="1"/>
  <c r="I41" i="1" s="1"/>
  <c r="G5" i="1"/>
  <c r="G40" i="1" s="1"/>
  <c r="J6" i="1" l="1"/>
  <c r="H5" i="1"/>
  <c r="H40" i="1" s="1"/>
  <c r="J41" i="1" l="1"/>
  <c r="K6" i="1" s="1"/>
  <c r="K41" i="1" s="1"/>
  <c r="L6" i="1" s="1"/>
  <c r="L41" i="1" s="1"/>
  <c r="M6" i="1" s="1"/>
  <c r="M41" i="1" s="1"/>
  <c r="I5" i="1"/>
  <c r="I40" i="1" s="1"/>
  <c r="J5" i="1" l="1"/>
  <c r="J40" i="1" s="1"/>
  <c r="K5" i="1" l="1"/>
  <c r="K40" i="1" l="1"/>
  <c r="L5" i="1" s="1"/>
  <c r="L40" i="1" l="1"/>
  <c r="M5" i="1" s="1"/>
  <c r="M40" i="1" s="1"/>
</calcChain>
</file>

<file path=xl/sharedStrings.xml><?xml version="1.0" encoding="utf-8"?>
<sst xmlns="http://schemas.openxmlformats.org/spreadsheetml/2006/main" count="52" uniqueCount="44">
  <si>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</si>
  <si>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</si>
  <si>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</si>
  <si>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</si>
  <si>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</si>
  <si>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</si>
  <si>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</si>
  <si>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</si>
  <si>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</si>
  <si>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</si>
  <si>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</si>
  <si>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</si>
  <si>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</si>
  <si>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</si>
  <si>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Тех.обслуживание газового оборудования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</si>
  <si>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</si>
  <si>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</si>
  <si>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</si>
  <si>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</si>
  <si>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</si>
  <si>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</si>
  <si>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</si>
  <si>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</si>
  <si>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</si>
  <si>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</si>
  <si>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Отведение сточных вод ОИ</t>
  </si>
  <si>
    <t>Тех.обслуживание узла учета теплоэнергии</t>
  </si>
  <si>
    <t xml:space="preserve">Содержание жилья и текущий ремонт,  ОПУ </t>
  </si>
  <si>
    <t>Содержание жилья и текущий ремонт,  ОПУ</t>
  </si>
  <si>
    <t>Январь 2023г.</t>
  </si>
  <si>
    <t>Февраль 2023г.</t>
  </si>
  <si>
    <t>Март 2023г.</t>
  </si>
  <si>
    <t>Апрель 2023г.</t>
  </si>
  <si>
    <t>Май 2023г.</t>
  </si>
  <si>
    <t>Июнь 2023г.</t>
  </si>
  <si>
    <t>Июль 2023г.</t>
  </si>
  <si>
    <t>Август 2023г.</t>
  </si>
  <si>
    <t>Сентябрь 2023г.</t>
  </si>
  <si>
    <t>Октябрь 2023г</t>
  </si>
  <si>
    <t>Ноябрь 2023г</t>
  </si>
  <si>
    <t>Декабрь 2023г</t>
  </si>
  <si>
    <t>Всего:                       за  2023г.</t>
  </si>
  <si>
    <t>Возмещение расходов совета МКД</t>
  </si>
  <si>
    <t xml:space="preserve">                 ОТЧЕТ по дому Липового, 80/1 за период 01.01.2023г. по 31.12.2023г.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</si>
</sst>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  <xf numFmtId="164" fontId="5" fillId="0" borderId="6" xfId="0" applyNumberFormat="1" applyFont="1" applyBorder="1" applyAlignment="1">
      <alignment horizontal="left" vertical="top" wrapText="1"/>
    </xf>
    <xf numFmtId="164" fontId="5" fillId="0" borderId="7" xfId="0" applyNumberFormat="1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topLeftCell="B26" zoomScale="75" workbookViewId="0">
      <selection activeCell="O32" sqref="O32"/>
    </sheetView>
  </sheetViews>
  <sheetFormatPr defaultRowHeight="13.2" x14ac:dyDescent="0.25"/>
  <cols>
    <col min="1" max="1" width="58.6640625" customWidth="1"/>
    <col min="2" max="2" width="14.109375" customWidth="1"/>
    <col min="3" max="3" width="13.44140625" customWidth="1"/>
    <col min="4" max="4" width="14.33203125" customWidth="1"/>
    <col min="5" max="5" width="13.5546875" customWidth="1"/>
    <col min="6" max="6" width="13.6640625" customWidth="1"/>
    <col min="7" max="7" width="13.88671875" customWidth="1"/>
    <col min="8" max="8" width="14.44140625" customWidth="1"/>
    <col min="9" max="13" width="13.88671875" customWidth="1"/>
    <col min="14" max="14" width="15.88671875" customWidth="1"/>
  </cols>
  <sheetData>
    <row r="1" spans="1:18" ht="20.25" customHeight="1" x14ac:dyDescent="0.35">
      <c r="A1" s="20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6" t="s">
        <v>0</v>
      </c>
      <c r="B4" s="7" t="s">
        <v>29</v>
      </c>
      <c r="C4" s="7" t="s">
        <v>30</v>
      </c>
      <c r="D4" s="7" t="s">
        <v>31</v>
      </c>
      <c r="E4" s="7" t="s">
        <v>32</v>
      </c>
      <c r="F4" s="7" t="s">
        <v>33</v>
      </c>
      <c r="G4" s="7" t="s">
        <v>34</v>
      </c>
      <c r="H4" s="7" t="s">
        <v>35</v>
      </c>
      <c r="I4" s="7" t="s">
        <v>36</v>
      </c>
      <c r="J4" s="7" t="s">
        <v>37</v>
      </c>
      <c r="K4" s="7" t="s">
        <v>38</v>
      </c>
      <c r="L4" s="7" t="s">
        <v>39</v>
      </c>
      <c r="M4" s="7" t="s">
        <v>40</v>
      </c>
      <c r="N4" s="7" t="s">
        <v>41</v>
      </c>
    </row>
    <row r="5" spans="1:18" ht="23.25" customHeight="1" thickBot="1" x14ac:dyDescent="0.3">
      <c r="A5" s="8" t="s">
        <v>16</v>
      </c>
      <c r="B5" s="9">
        <v>-331332.12</v>
      </c>
      <c r="C5" s="9">
        <f t="shared" ref="C5:D6" si="0">B40</f>
        <v>-312242.06235999998</v>
      </c>
      <c r="D5" s="9">
        <f t="shared" si="0"/>
        <v>-278468.25471000001</v>
      </c>
      <c r="E5" s="9">
        <f t="shared" ref="E5:E6" si="1">D40</f>
        <v>-269955.22375</v>
      </c>
      <c r="F5" s="9">
        <f t="shared" ref="F5:F6" si="2">E40</f>
        <v>-271195.16485</v>
      </c>
      <c r="G5" s="9">
        <f t="shared" ref="G5:G6" si="3">F40</f>
        <v>-276289.60560000001</v>
      </c>
      <c r="H5" s="9">
        <f t="shared" ref="H5:H6" si="4">G40</f>
        <v>-291518.08885000006</v>
      </c>
      <c r="I5" s="9">
        <f t="shared" ref="I5:I6" si="5">H40</f>
        <v>-268342.87598000001</v>
      </c>
      <c r="J5" s="9">
        <f t="shared" ref="J5:J6" si="6">I40</f>
        <v>-258867.13735</v>
      </c>
      <c r="K5" s="9">
        <f t="shared" ref="K5:K6" si="7">J40</f>
        <v>-247839.63766000001</v>
      </c>
      <c r="L5" s="9">
        <f t="shared" ref="L5:L6" si="8">K40</f>
        <v>-276292.81518000003</v>
      </c>
      <c r="M5" s="9">
        <f t="shared" ref="M5:M6" si="9">L40</f>
        <v>-504722.49168000004</v>
      </c>
      <c r="N5" s="9">
        <f>B5</f>
        <v>-331332.12</v>
      </c>
    </row>
    <row r="6" spans="1:18" ht="21" customHeight="1" thickBot="1" x14ac:dyDescent="0.3">
      <c r="A6" s="8" t="s">
        <v>13</v>
      </c>
      <c r="B6" s="9">
        <v>-157559.78</v>
      </c>
      <c r="C6" s="9">
        <f t="shared" si="0"/>
        <v>-179349.58999999997</v>
      </c>
      <c r="D6" s="9">
        <f t="shared" si="0"/>
        <v>-162822.41999999998</v>
      </c>
      <c r="E6" s="9">
        <f t="shared" si="1"/>
        <v>-167346.76999999999</v>
      </c>
      <c r="F6" s="9">
        <f t="shared" si="2"/>
        <v>-172657.05999999997</v>
      </c>
      <c r="G6" s="9">
        <f t="shared" si="3"/>
        <v>-176453.09999999998</v>
      </c>
      <c r="H6" s="9">
        <f t="shared" si="4"/>
        <v>-175926.61</v>
      </c>
      <c r="I6" s="9">
        <f t="shared" si="5"/>
        <v>-158825.62999999998</v>
      </c>
      <c r="J6" s="9">
        <f t="shared" si="6"/>
        <v>-170346.00999999995</v>
      </c>
      <c r="K6" s="9">
        <f t="shared" si="7"/>
        <v>-175011.91999999995</v>
      </c>
      <c r="L6" s="9">
        <f t="shared" si="8"/>
        <v>-182336.09999999995</v>
      </c>
      <c r="M6" s="9">
        <f t="shared" si="9"/>
        <v>-190971.64999999991</v>
      </c>
      <c r="N6" s="9">
        <f>B6</f>
        <v>-157559.78</v>
      </c>
    </row>
    <row r="7" spans="1:18" ht="20.25" customHeight="1" thickBot="1" x14ac:dyDescent="0.3">
      <c r="A7" s="10" t="s">
        <v>12</v>
      </c>
      <c r="B7" s="11">
        <f>SUM(B8:B14)</f>
        <v>99335.219999999987</v>
      </c>
      <c r="C7" s="11">
        <f>SUM(C8:C14)</f>
        <v>81098.249999999985</v>
      </c>
      <c r="D7" s="11">
        <f>SUM(D8:D14)</f>
        <v>77230.179999999993</v>
      </c>
      <c r="E7" s="11">
        <f t="shared" ref="E7:G7" si="10">SUM(E8:E14)</f>
        <v>78596.599999999991</v>
      </c>
      <c r="F7" s="11">
        <f t="shared" si="10"/>
        <v>80548.149999999994</v>
      </c>
      <c r="G7" s="11">
        <f t="shared" si="10"/>
        <v>81770.349999999991</v>
      </c>
      <c r="H7" s="11">
        <f>SUM(H8:H14)</f>
        <v>78592.41</v>
      </c>
      <c r="I7" s="11">
        <f>SUM(I8:I14)</f>
        <v>82276.089999999982</v>
      </c>
      <c r="J7" s="11">
        <f>SUM(J8:J14)</f>
        <v>77126.37</v>
      </c>
      <c r="K7" s="11">
        <f t="shared" ref="K7:M7" si="11">SUM(K8:K14)</f>
        <v>79163.64</v>
      </c>
      <c r="L7" s="11">
        <f t="shared" si="11"/>
        <v>89720.999999999985</v>
      </c>
      <c r="M7" s="11">
        <f t="shared" si="11"/>
        <v>79623.73</v>
      </c>
      <c r="N7" s="11">
        <f>SUM(B7:M7)</f>
        <v>985081.98999999987</v>
      </c>
    </row>
    <row r="8" spans="1:18" ht="21" customHeight="1" thickBot="1" x14ac:dyDescent="0.3">
      <c r="A8" s="3" t="s">
        <v>27</v>
      </c>
      <c r="B8" s="12">
        <f t="shared" ref="B8:G8" si="12">62979.6+1388.31</f>
        <v>64367.909999999996</v>
      </c>
      <c r="C8" s="12">
        <f t="shared" si="12"/>
        <v>64367.909999999996</v>
      </c>
      <c r="D8" s="12">
        <f t="shared" si="12"/>
        <v>64367.909999999996</v>
      </c>
      <c r="E8" s="12">
        <f t="shared" si="12"/>
        <v>64367.909999999996</v>
      </c>
      <c r="F8" s="12">
        <f t="shared" si="12"/>
        <v>64367.909999999996</v>
      </c>
      <c r="G8" s="12">
        <f t="shared" si="12"/>
        <v>64367.909999999996</v>
      </c>
      <c r="H8" s="12">
        <f>62979.6+1388.31</f>
        <v>64367.909999999996</v>
      </c>
      <c r="I8" s="12">
        <f>62979.6+1388.31</f>
        <v>64367.909999999996</v>
      </c>
      <c r="J8" s="12">
        <f>62979.6+1388.31</f>
        <v>64367.909999999996</v>
      </c>
      <c r="K8" s="12">
        <f>64842.1+1388.31</f>
        <v>66230.41</v>
      </c>
      <c r="L8" s="12">
        <f>64842.1+1388.31</f>
        <v>66230.41</v>
      </c>
      <c r="M8" s="12">
        <f>64842.1+1388.31</f>
        <v>66230.41</v>
      </c>
      <c r="N8" s="12">
        <f>SUM(B8:M8)</f>
        <v>778002.42</v>
      </c>
    </row>
    <row r="9" spans="1:18" ht="21" customHeight="1" thickBot="1" x14ac:dyDescent="0.3">
      <c r="A9" s="3" t="s">
        <v>17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204.2</v>
      </c>
      <c r="J9" s="12">
        <v>0</v>
      </c>
      <c r="K9" s="12">
        <v>0</v>
      </c>
      <c r="L9" s="12">
        <v>0</v>
      </c>
      <c r="M9" s="12">
        <v>0</v>
      </c>
      <c r="N9" s="12">
        <f t="shared" ref="N9:N14" si="13">SUM(B9:M9)</f>
        <v>204.2</v>
      </c>
    </row>
    <row r="10" spans="1:18" ht="21" customHeight="1" thickBot="1" x14ac:dyDescent="0.3">
      <c r="A10" s="3" t="s">
        <v>18</v>
      </c>
      <c r="B10" s="12">
        <v>9449.66</v>
      </c>
      <c r="C10" s="12">
        <v>4753.3599999999997</v>
      </c>
      <c r="D10" s="12">
        <v>2784.47</v>
      </c>
      <c r="E10" s="12">
        <v>3355.26</v>
      </c>
      <c r="F10" s="12">
        <v>4267.66</v>
      </c>
      <c r="G10" s="12">
        <v>4023.34</v>
      </c>
      <c r="H10" s="12">
        <v>2353.75</v>
      </c>
      <c r="I10" s="12">
        <v>3096.91</v>
      </c>
      <c r="J10" s="12">
        <v>1846.34</v>
      </c>
      <c r="K10" s="12">
        <v>2820.53</v>
      </c>
      <c r="L10" s="12">
        <v>4874.1499999999996</v>
      </c>
      <c r="M10" s="12">
        <v>215.44</v>
      </c>
      <c r="N10" s="12">
        <f t="shared" si="13"/>
        <v>43840.87</v>
      </c>
    </row>
    <row r="11" spans="1:18" ht="21" customHeight="1" thickBot="1" x14ac:dyDescent="0.3">
      <c r="A11" s="3" t="s">
        <v>19</v>
      </c>
      <c r="B11" s="12">
        <v>7160.4</v>
      </c>
      <c r="C11" s="12">
        <v>0</v>
      </c>
      <c r="D11" s="12">
        <v>0</v>
      </c>
      <c r="E11" s="12">
        <v>0</v>
      </c>
      <c r="F11" s="12">
        <v>0</v>
      </c>
      <c r="G11" s="12">
        <v>2106.29</v>
      </c>
      <c r="H11" s="12">
        <v>2208.3000000000002</v>
      </c>
      <c r="I11" s="12">
        <v>4227.92</v>
      </c>
      <c r="J11" s="12">
        <v>1739.12</v>
      </c>
      <c r="K11" s="12">
        <v>0</v>
      </c>
      <c r="L11" s="12">
        <v>6522.93</v>
      </c>
      <c r="M11" s="12">
        <v>5370.29</v>
      </c>
      <c r="N11" s="12">
        <f t="shared" si="13"/>
        <v>29335.25</v>
      </c>
    </row>
    <row r="12" spans="1:18" ht="21" customHeight="1" thickBot="1" x14ac:dyDescent="0.3">
      <c r="A12" s="3" t="s">
        <v>25</v>
      </c>
      <c r="B12" s="12">
        <v>10965.25</v>
      </c>
      <c r="C12" s="12">
        <v>4584.9799999999996</v>
      </c>
      <c r="D12" s="12">
        <v>2685.8</v>
      </c>
      <c r="E12" s="12">
        <v>3481.43</v>
      </c>
      <c r="F12" s="12">
        <v>4520.58</v>
      </c>
      <c r="G12" s="12">
        <v>3880.81</v>
      </c>
      <c r="H12" s="12">
        <v>2270.4499999999998</v>
      </c>
      <c r="I12" s="12">
        <v>2987.15</v>
      </c>
      <c r="J12" s="12">
        <v>1781</v>
      </c>
      <c r="K12" s="12">
        <v>2720.7</v>
      </c>
      <c r="L12" s="12">
        <v>4701.51</v>
      </c>
      <c r="M12" s="12">
        <v>415.59</v>
      </c>
      <c r="N12" s="12">
        <f t="shared" si="13"/>
        <v>44995.25</v>
      </c>
    </row>
    <row r="13" spans="1:18" ht="21" customHeight="1" thickBot="1" x14ac:dyDescent="0.3">
      <c r="A13" s="3" t="s">
        <v>42</v>
      </c>
      <c r="B13" s="12">
        <v>7392</v>
      </c>
      <c r="C13" s="12">
        <v>7392</v>
      </c>
      <c r="D13" s="12">
        <v>7392</v>
      </c>
      <c r="E13" s="12">
        <v>7392</v>
      </c>
      <c r="F13" s="12">
        <v>7392</v>
      </c>
      <c r="G13" s="12">
        <v>7392</v>
      </c>
      <c r="H13" s="12">
        <v>7392</v>
      </c>
      <c r="I13" s="12">
        <v>7392</v>
      </c>
      <c r="J13" s="12">
        <v>7392</v>
      </c>
      <c r="K13" s="12">
        <v>7392</v>
      </c>
      <c r="L13" s="12">
        <v>7392</v>
      </c>
      <c r="M13" s="12">
        <v>7392</v>
      </c>
      <c r="N13" s="12">
        <f t="shared" si="13"/>
        <v>88704</v>
      </c>
    </row>
    <row r="14" spans="1:18" ht="21" hidden="1" customHeight="1" thickBot="1" x14ac:dyDescent="0.3">
      <c r="A14" s="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>
        <f t="shared" si="13"/>
        <v>0</v>
      </c>
    </row>
    <row r="15" spans="1:18" ht="20.25" customHeight="1" thickBot="1" x14ac:dyDescent="0.3">
      <c r="A15" s="13" t="s">
        <v>8</v>
      </c>
      <c r="B15" s="14">
        <f>SUM(B16:B22)</f>
        <v>77545.41</v>
      </c>
      <c r="C15" s="14">
        <f t="shared" ref="C15:M15" si="14">SUM(C16:C22)</f>
        <v>97625.419999999984</v>
      </c>
      <c r="D15" s="14">
        <f t="shared" si="14"/>
        <v>72705.829999999987</v>
      </c>
      <c r="E15" s="14">
        <f t="shared" si="14"/>
        <v>73286.310000000012</v>
      </c>
      <c r="F15" s="14">
        <f t="shared" si="14"/>
        <v>76752.11</v>
      </c>
      <c r="G15" s="14">
        <f t="shared" si="14"/>
        <v>82296.839999999982</v>
      </c>
      <c r="H15" s="14">
        <f t="shared" si="14"/>
        <v>95693.390000000014</v>
      </c>
      <c r="I15" s="14">
        <f t="shared" si="14"/>
        <v>70755.710000000006</v>
      </c>
      <c r="J15" s="14">
        <f t="shared" si="14"/>
        <v>72460.459999999992</v>
      </c>
      <c r="K15" s="14">
        <f t="shared" si="14"/>
        <v>71839.460000000006</v>
      </c>
      <c r="L15" s="14">
        <f t="shared" si="14"/>
        <v>81085.450000000012</v>
      </c>
      <c r="M15" s="14">
        <f t="shared" si="14"/>
        <v>82249.98</v>
      </c>
      <c r="N15" s="14">
        <f>SUM(B15:M15)</f>
        <v>954296.36999999988</v>
      </c>
    </row>
    <row r="16" spans="1:18" ht="24" customHeight="1" thickBot="1" x14ac:dyDescent="0.3">
      <c r="A16" s="3" t="s">
        <v>28</v>
      </c>
      <c r="B16" s="12">
        <f>56154.58+1187.61</f>
        <v>57342.19</v>
      </c>
      <c r="C16" s="12">
        <f>63747.97+1383.15</f>
        <v>65131.12</v>
      </c>
      <c r="D16" s="12">
        <f>55330.34+1237.24</f>
        <v>56567.579999999994</v>
      </c>
      <c r="E16" s="12">
        <f>59665.26+1309.96</f>
        <v>60975.22</v>
      </c>
      <c r="F16" s="12">
        <f>61569.9+1408.71</f>
        <v>62978.61</v>
      </c>
      <c r="G16" s="12">
        <f>64504.46+1385.91</f>
        <v>65890.37</v>
      </c>
      <c r="H16" s="12">
        <f>74199.72+1697.04</f>
        <v>75896.759999999995</v>
      </c>
      <c r="I16" s="12">
        <f>56712.5+1253.17</f>
        <v>57965.67</v>
      </c>
      <c r="J16" s="12">
        <f>55543.72+1225.99</f>
        <v>56769.71</v>
      </c>
      <c r="K16" s="12">
        <f>58532.95+1291.51</f>
        <v>59824.46</v>
      </c>
      <c r="L16" s="12">
        <f>65994.51+1465.4</f>
        <v>67459.909999999989</v>
      </c>
      <c r="M16" s="12">
        <f>60236.42+1245.75</f>
        <v>61482.17</v>
      </c>
      <c r="N16" s="12">
        <f>SUM(B16:M16)</f>
        <v>748283.77</v>
      </c>
    </row>
    <row r="17" spans="1:14" ht="24" customHeight="1" thickBot="1" x14ac:dyDescent="0.3">
      <c r="A17" s="3" t="s">
        <v>17</v>
      </c>
      <c r="B17" s="12">
        <v>1.27</v>
      </c>
      <c r="C17" s="12">
        <v>0</v>
      </c>
      <c r="D17" s="12">
        <v>0</v>
      </c>
      <c r="E17" s="12">
        <v>0</v>
      </c>
      <c r="F17" s="12">
        <v>1.01</v>
      </c>
      <c r="G17" s="12">
        <v>0.99</v>
      </c>
      <c r="H17" s="12">
        <v>32.46</v>
      </c>
      <c r="I17" s="12">
        <v>1.78</v>
      </c>
      <c r="J17" s="12">
        <v>171.26</v>
      </c>
      <c r="K17" s="12">
        <v>8.69</v>
      </c>
      <c r="L17" s="12">
        <v>7.74</v>
      </c>
      <c r="M17" s="12">
        <v>5.79</v>
      </c>
      <c r="N17" s="12">
        <f t="shared" ref="N17:N22" si="15">SUM(B17:M17)</f>
        <v>230.98999999999998</v>
      </c>
    </row>
    <row r="18" spans="1:14" ht="24" customHeight="1" thickBot="1" x14ac:dyDescent="0.3">
      <c r="A18" s="3" t="s">
        <v>18</v>
      </c>
      <c r="B18" s="12">
        <v>4653.1499999999996</v>
      </c>
      <c r="C18" s="12">
        <v>8764.91</v>
      </c>
      <c r="D18" s="12">
        <v>4330.3900000000003</v>
      </c>
      <c r="E18" s="12">
        <v>2765.73</v>
      </c>
      <c r="F18" s="12">
        <v>3352.01</v>
      </c>
      <c r="G18" s="12">
        <v>4358.26</v>
      </c>
      <c r="H18" s="12">
        <v>4371.6099999999997</v>
      </c>
      <c r="I18" s="12">
        <v>2192.25</v>
      </c>
      <c r="J18" s="12">
        <v>2699.52</v>
      </c>
      <c r="K18" s="12">
        <v>1849.01</v>
      </c>
      <c r="L18" s="12">
        <v>2818.27</v>
      </c>
      <c r="M18" s="12">
        <v>4341.71</v>
      </c>
      <c r="N18" s="12">
        <f t="shared" si="15"/>
        <v>46496.82</v>
      </c>
    </row>
    <row r="19" spans="1:14" ht="24" customHeight="1" thickBot="1" x14ac:dyDescent="0.3">
      <c r="A19" s="3" t="s">
        <v>19</v>
      </c>
      <c r="B19" s="12">
        <v>3423.53</v>
      </c>
      <c r="C19" s="12">
        <v>6617.18</v>
      </c>
      <c r="D19" s="12">
        <v>273.56</v>
      </c>
      <c r="E19" s="12">
        <v>0</v>
      </c>
      <c r="F19" s="12">
        <v>159.05000000000001</v>
      </c>
      <c r="G19" s="12">
        <v>203.23</v>
      </c>
      <c r="H19" s="12">
        <v>2240.88</v>
      </c>
      <c r="I19" s="12">
        <v>1934</v>
      </c>
      <c r="J19" s="12">
        <v>3630.43</v>
      </c>
      <c r="K19" s="12">
        <v>1704.73</v>
      </c>
      <c r="L19" s="12">
        <v>320.25</v>
      </c>
      <c r="M19" s="12">
        <v>5685.19</v>
      </c>
      <c r="N19" s="12">
        <f t="shared" si="15"/>
        <v>26192.03</v>
      </c>
    </row>
    <row r="20" spans="1:14" ht="24" customHeight="1" thickBot="1" x14ac:dyDescent="0.3">
      <c r="A20" s="3" t="s">
        <v>25</v>
      </c>
      <c r="B20" s="12">
        <v>5288.38</v>
      </c>
      <c r="C20" s="12">
        <v>10037.9</v>
      </c>
      <c r="D20" s="12">
        <v>4247.8999999999996</v>
      </c>
      <c r="E20" s="12">
        <v>2667.73</v>
      </c>
      <c r="F20" s="12">
        <v>3452.78</v>
      </c>
      <c r="G20" s="12">
        <v>4583.7299999999996</v>
      </c>
      <c r="H20" s="12">
        <v>4026.99</v>
      </c>
      <c r="I20" s="12">
        <v>2111.73</v>
      </c>
      <c r="J20" s="12">
        <v>2600.11</v>
      </c>
      <c r="K20" s="12">
        <v>1781.55</v>
      </c>
      <c r="L20" s="12">
        <v>2714.07</v>
      </c>
      <c r="M20" s="12">
        <v>4187.92</v>
      </c>
      <c r="N20" s="12">
        <f t="shared" si="15"/>
        <v>47700.79</v>
      </c>
    </row>
    <row r="21" spans="1:14" ht="24" customHeight="1" thickBot="1" x14ac:dyDescent="0.3">
      <c r="A21" s="3" t="s">
        <v>42</v>
      </c>
      <c r="B21" s="12">
        <v>6836.89</v>
      </c>
      <c r="C21" s="12">
        <v>7074.31</v>
      </c>
      <c r="D21" s="12">
        <v>7286.4</v>
      </c>
      <c r="E21" s="12">
        <v>6877.63</v>
      </c>
      <c r="F21" s="12">
        <v>6808.65</v>
      </c>
      <c r="G21" s="12">
        <v>7260.26</v>
      </c>
      <c r="H21" s="12">
        <v>9124.69</v>
      </c>
      <c r="I21" s="12">
        <v>6550.28</v>
      </c>
      <c r="J21" s="12">
        <v>6589.43</v>
      </c>
      <c r="K21" s="12">
        <v>6671.02</v>
      </c>
      <c r="L21" s="12">
        <v>7765.21</v>
      </c>
      <c r="M21" s="12">
        <v>6547.2</v>
      </c>
      <c r="N21" s="12">
        <f t="shared" si="15"/>
        <v>85391.97</v>
      </c>
    </row>
    <row r="22" spans="1:14" ht="24" hidden="1" customHeight="1" thickBot="1" x14ac:dyDescent="0.3">
      <c r="A22" s="3" t="s">
        <v>15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>
        <f t="shared" si="15"/>
        <v>0</v>
      </c>
    </row>
    <row r="23" spans="1:14" ht="24" customHeight="1" thickBot="1" x14ac:dyDescent="0.3">
      <c r="A23" s="4" t="s">
        <v>24</v>
      </c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ht="24" customHeight="1" thickBot="1" x14ac:dyDescent="0.3">
      <c r="A24" s="3" t="s">
        <v>1</v>
      </c>
      <c r="B24" s="12">
        <f>3386*0.6</f>
        <v>2031.6</v>
      </c>
      <c r="C24" s="12">
        <f t="shared" ref="C24:M24" si="16">3386*0.6</f>
        <v>2031.6</v>
      </c>
      <c r="D24" s="12">
        <f t="shared" si="16"/>
        <v>2031.6</v>
      </c>
      <c r="E24" s="12">
        <f t="shared" si="16"/>
        <v>2031.6</v>
      </c>
      <c r="F24" s="12">
        <f t="shared" si="16"/>
        <v>2031.6</v>
      </c>
      <c r="G24" s="12">
        <f t="shared" si="16"/>
        <v>2031.6</v>
      </c>
      <c r="H24" s="12">
        <f t="shared" si="16"/>
        <v>2031.6</v>
      </c>
      <c r="I24" s="12">
        <f t="shared" si="16"/>
        <v>2031.6</v>
      </c>
      <c r="J24" s="12">
        <f t="shared" si="16"/>
        <v>2031.6</v>
      </c>
      <c r="K24" s="12">
        <f t="shared" si="16"/>
        <v>2031.6</v>
      </c>
      <c r="L24" s="12">
        <f t="shared" si="16"/>
        <v>2031.6</v>
      </c>
      <c r="M24" s="12">
        <f t="shared" si="16"/>
        <v>2031.6</v>
      </c>
      <c r="N24" s="12">
        <f t="shared" ref="N24:N37" si="17">SUM(B24:M24)</f>
        <v>24379.199999999997</v>
      </c>
    </row>
    <row r="25" spans="1:14" ht="24" customHeight="1" thickBot="1" x14ac:dyDescent="0.3">
      <c r="A25" s="3" t="s">
        <v>2</v>
      </c>
      <c r="B25" s="12">
        <f t="shared" ref="B25:M25" si="18">3386*0.17</f>
        <v>575.62</v>
      </c>
      <c r="C25" s="12">
        <f t="shared" si="18"/>
        <v>575.62</v>
      </c>
      <c r="D25" s="12">
        <f t="shared" si="18"/>
        <v>575.62</v>
      </c>
      <c r="E25" s="12">
        <f t="shared" si="18"/>
        <v>575.62</v>
      </c>
      <c r="F25" s="12">
        <f t="shared" si="18"/>
        <v>575.62</v>
      </c>
      <c r="G25" s="12">
        <f t="shared" si="18"/>
        <v>575.62</v>
      </c>
      <c r="H25" s="12">
        <f t="shared" si="18"/>
        <v>575.62</v>
      </c>
      <c r="I25" s="12">
        <f t="shared" si="18"/>
        <v>575.62</v>
      </c>
      <c r="J25" s="12">
        <f t="shared" si="18"/>
        <v>575.62</v>
      </c>
      <c r="K25" s="12">
        <f t="shared" si="18"/>
        <v>575.62</v>
      </c>
      <c r="L25" s="12">
        <f t="shared" si="18"/>
        <v>575.62</v>
      </c>
      <c r="M25" s="12">
        <f t="shared" si="18"/>
        <v>575.62</v>
      </c>
      <c r="N25" s="12">
        <f t="shared" si="17"/>
        <v>6907.44</v>
      </c>
    </row>
    <row r="26" spans="1:14" ht="24" customHeight="1" thickBot="1" x14ac:dyDescent="0.3">
      <c r="A26" s="3" t="s">
        <v>3</v>
      </c>
      <c r="B26" s="12">
        <f>99335.22*2.3%</f>
        <v>2284.7100599999999</v>
      </c>
      <c r="C26" s="12">
        <f>81098.25*2.3%</f>
        <v>1865.2597499999999</v>
      </c>
      <c r="D26" s="12">
        <f>77230.18*2.3%</f>
        <v>1776.2941399999997</v>
      </c>
      <c r="E26" s="12">
        <f>78596.6*2.3%</f>
        <v>1807.7218</v>
      </c>
      <c r="F26" s="12">
        <f>80548.15*2.3%</f>
        <v>1852.6074499999997</v>
      </c>
      <c r="G26" s="12">
        <f>81770.35*2.3%</f>
        <v>1880.7180500000002</v>
      </c>
      <c r="H26" s="12">
        <f>78592.41*2.3%</f>
        <v>1807.6254300000001</v>
      </c>
      <c r="I26" s="12">
        <f>82276.09*2.3%</f>
        <v>1892.35007</v>
      </c>
      <c r="J26" s="12">
        <f>77126.37*2.3%</f>
        <v>1773.9065099999998</v>
      </c>
      <c r="K26" s="12">
        <f>79163.64*2.3%</f>
        <v>1820.7637199999999</v>
      </c>
      <c r="L26" s="12">
        <f>89721*2.3%</f>
        <v>2063.5830000000001</v>
      </c>
      <c r="M26" s="12">
        <f>79623.73*2.3%</f>
        <v>1831.3457899999999</v>
      </c>
      <c r="N26" s="12">
        <f t="shared" si="17"/>
        <v>22656.885769999997</v>
      </c>
    </row>
    <row r="27" spans="1:14" ht="24" customHeight="1" thickBot="1" x14ac:dyDescent="0.3">
      <c r="A27" s="3" t="s">
        <v>4</v>
      </c>
      <c r="B27" s="12">
        <f>77545.41*3%</f>
        <v>2326.3623000000002</v>
      </c>
      <c r="C27" s="12">
        <f>97625.42*3%</f>
        <v>2928.7626</v>
      </c>
      <c r="D27" s="12">
        <f>72705.83*3%</f>
        <v>2181.1749</v>
      </c>
      <c r="E27" s="12">
        <f>73286.31*3%</f>
        <v>2198.5892999999996</v>
      </c>
      <c r="F27" s="12">
        <f>76752.11*3%</f>
        <v>2302.5632999999998</v>
      </c>
      <c r="G27" s="12">
        <f>82296.84*3%</f>
        <v>2468.9051999999997</v>
      </c>
      <c r="H27" s="12">
        <f>95693.39*3%</f>
        <v>2870.8017</v>
      </c>
      <c r="I27" s="12">
        <f>70755.71*3%</f>
        <v>2122.6713</v>
      </c>
      <c r="J27" s="12">
        <f>72460.46*3%</f>
        <v>2173.8137999999999</v>
      </c>
      <c r="K27" s="12">
        <f>71839.46*3%</f>
        <v>2155.1838000000002</v>
      </c>
      <c r="L27" s="12">
        <f>81085.45*3%</f>
        <v>2432.5634999999997</v>
      </c>
      <c r="M27" s="12">
        <f>82249.98*3%</f>
        <v>2467.4993999999997</v>
      </c>
      <c r="N27" s="12">
        <f t="shared" si="17"/>
        <v>28628.891100000001</v>
      </c>
    </row>
    <row r="28" spans="1:14" ht="24" customHeight="1" thickBot="1" x14ac:dyDescent="0.3">
      <c r="A28" s="3" t="s">
        <v>9</v>
      </c>
      <c r="B28" s="12">
        <f t="shared" ref="B28:M28" si="19">3386*9.7</f>
        <v>32844.199999999997</v>
      </c>
      <c r="C28" s="12">
        <f t="shared" si="19"/>
        <v>32844.199999999997</v>
      </c>
      <c r="D28" s="12">
        <f t="shared" si="19"/>
        <v>32844.199999999997</v>
      </c>
      <c r="E28" s="12">
        <f t="shared" si="19"/>
        <v>32844.199999999997</v>
      </c>
      <c r="F28" s="12">
        <f t="shared" si="19"/>
        <v>32844.199999999997</v>
      </c>
      <c r="G28" s="12">
        <f t="shared" si="19"/>
        <v>32844.199999999997</v>
      </c>
      <c r="H28" s="12">
        <f t="shared" si="19"/>
        <v>32844.199999999997</v>
      </c>
      <c r="I28" s="12">
        <f t="shared" si="19"/>
        <v>32844.199999999997</v>
      </c>
      <c r="J28" s="12">
        <f t="shared" si="19"/>
        <v>32844.199999999997</v>
      </c>
      <c r="K28" s="12">
        <f t="shared" si="19"/>
        <v>32844.199999999997</v>
      </c>
      <c r="L28" s="12">
        <f t="shared" si="19"/>
        <v>32844.199999999997</v>
      </c>
      <c r="M28" s="12">
        <f t="shared" si="19"/>
        <v>32844.199999999997</v>
      </c>
      <c r="N28" s="12">
        <f t="shared" si="17"/>
        <v>394130.40000000008</v>
      </c>
    </row>
    <row r="29" spans="1:14" ht="24" customHeight="1" thickBot="1" x14ac:dyDescent="0.3">
      <c r="A29" s="3" t="s">
        <v>20</v>
      </c>
      <c r="B29" s="12">
        <v>0</v>
      </c>
      <c r="C29" s="12">
        <v>0</v>
      </c>
      <c r="D29" s="12">
        <v>0</v>
      </c>
      <c r="E29" s="12">
        <v>0</v>
      </c>
      <c r="F29" s="12">
        <v>0.02</v>
      </c>
      <c r="G29" s="12">
        <v>0</v>
      </c>
      <c r="H29" s="12">
        <f>181.16+23.03</f>
        <v>204.19</v>
      </c>
      <c r="I29" s="12">
        <f>0+0.01</f>
        <v>0.01</v>
      </c>
      <c r="J29" s="12">
        <f>0.44+0.02</f>
        <v>0.46</v>
      </c>
      <c r="K29" s="12">
        <v>0</v>
      </c>
      <c r="L29" s="12">
        <v>0</v>
      </c>
      <c r="M29" s="12">
        <v>0</v>
      </c>
      <c r="N29" s="12">
        <f t="shared" si="17"/>
        <v>204.68</v>
      </c>
    </row>
    <row r="30" spans="1:14" ht="24" customHeight="1" thickBot="1" x14ac:dyDescent="0.3">
      <c r="A30" s="3" t="s">
        <v>21</v>
      </c>
      <c r="B30" s="12">
        <v>4753</v>
      </c>
      <c r="C30" s="12">
        <v>2784.24</v>
      </c>
      <c r="D30" s="12">
        <v>3355.03</v>
      </c>
      <c r="E30" s="12">
        <v>4267.3900000000003</v>
      </c>
      <c r="F30" s="12">
        <v>4023.02</v>
      </c>
      <c r="G30" s="12">
        <v>2353.66</v>
      </c>
      <c r="H30" s="12">
        <v>3096.67</v>
      </c>
      <c r="I30" s="12">
        <v>1846.25</v>
      </c>
      <c r="J30" s="12">
        <v>2820.36</v>
      </c>
      <c r="K30" s="12">
        <v>4873.82</v>
      </c>
      <c r="L30" s="12">
        <v>323.14999999999998</v>
      </c>
      <c r="M30" s="12">
        <v>323.14999999999998</v>
      </c>
      <c r="N30" s="12">
        <f t="shared" si="17"/>
        <v>34819.740000000005</v>
      </c>
    </row>
    <row r="31" spans="1:14" ht="24" customHeight="1" thickBot="1" x14ac:dyDescent="0.3">
      <c r="A31" s="3" t="s">
        <v>22</v>
      </c>
      <c r="B31" s="12">
        <v>0</v>
      </c>
      <c r="C31" s="12">
        <v>0</v>
      </c>
      <c r="D31" s="12">
        <v>0</v>
      </c>
      <c r="E31" s="12">
        <v>0</v>
      </c>
      <c r="F31" s="12">
        <v>2106.3000000000002</v>
      </c>
      <c r="G31" s="12">
        <v>2208.3000000000002</v>
      </c>
      <c r="H31" s="12">
        <v>4227.8900000000003</v>
      </c>
      <c r="I31" s="12">
        <v>1739.09</v>
      </c>
      <c r="J31" s="12">
        <v>0</v>
      </c>
      <c r="K31" s="12">
        <v>6522.89</v>
      </c>
      <c r="L31" s="12">
        <v>5370.3</v>
      </c>
      <c r="M31" s="12">
        <v>1193.4000000000001</v>
      </c>
      <c r="N31" s="12">
        <f t="shared" si="17"/>
        <v>23368.170000000002</v>
      </c>
    </row>
    <row r="32" spans="1:14" ht="20.25" customHeight="1" thickBot="1" x14ac:dyDescent="0.3">
      <c r="A32" s="3" t="s">
        <v>25</v>
      </c>
      <c r="B32" s="12">
        <v>4585.66</v>
      </c>
      <c r="C32" s="12">
        <v>2686.21</v>
      </c>
      <c r="D32" s="12">
        <f>3236.92+245.02</f>
        <v>3481.94</v>
      </c>
      <c r="E32" s="12">
        <f>4117.14+404.15</f>
        <v>4521.29</v>
      </c>
      <c r="F32" s="12">
        <f>3881.38+0</f>
        <v>3881.38</v>
      </c>
      <c r="G32" s="12">
        <f>2270.8+0</f>
        <v>2270.8000000000002</v>
      </c>
      <c r="H32" s="12">
        <v>2987.64</v>
      </c>
      <c r="I32" s="12">
        <v>1781.24</v>
      </c>
      <c r="J32" s="12">
        <v>2721.06</v>
      </c>
      <c r="K32" s="12">
        <v>4702.22</v>
      </c>
      <c r="L32" s="12">
        <v>415.59</v>
      </c>
      <c r="M32" s="12">
        <v>415.59</v>
      </c>
      <c r="N32" s="12">
        <f t="shared" si="17"/>
        <v>34450.619999999995</v>
      </c>
    </row>
    <row r="33" spans="1:14" ht="21" customHeight="1" thickBot="1" x14ac:dyDescent="0.3">
      <c r="A33" s="3" t="s">
        <v>6</v>
      </c>
      <c r="B33" s="12">
        <f t="shared" ref="B33:J33" si="20">3386*2.79</f>
        <v>9446.94</v>
      </c>
      <c r="C33" s="12">
        <f t="shared" si="20"/>
        <v>9446.94</v>
      </c>
      <c r="D33" s="12">
        <f t="shared" si="20"/>
        <v>9446.94</v>
      </c>
      <c r="E33" s="12">
        <f t="shared" si="20"/>
        <v>9446.94</v>
      </c>
      <c r="F33" s="12">
        <f t="shared" si="20"/>
        <v>9446.94</v>
      </c>
      <c r="G33" s="12">
        <f t="shared" si="20"/>
        <v>9446.94</v>
      </c>
      <c r="H33" s="12">
        <f t="shared" si="20"/>
        <v>9446.94</v>
      </c>
      <c r="I33" s="12">
        <f t="shared" si="20"/>
        <v>9446.94</v>
      </c>
      <c r="J33" s="12">
        <f t="shared" si="20"/>
        <v>9446.94</v>
      </c>
      <c r="K33" s="12">
        <f>3386*2.87</f>
        <v>9717.82</v>
      </c>
      <c r="L33" s="12">
        <f t="shared" ref="L33:M33" si="21">3386*2.87</f>
        <v>9717.82</v>
      </c>
      <c r="M33" s="12">
        <f t="shared" si="21"/>
        <v>9717.82</v>
      </c>
      <c r="N33" s="12">
        <f t="shared" si="17"/>
        <v>114175.92000000001</v>
      </c>
    </row>
    <row r="34" spans="1:14" ht="23.4" customHeight="1" thickBot="1" x14ac:dyDescent="0.3">
      <c r="A34" s="5" t="s">
        <v>42</v>
      </c>
      <c r="B34" s="15">
        <v>6575</v>
      </c>
      <c r="C34" s="15">
        <v>5900</v>
      </c>
      <c r="D34" s="15">
        <v>7200</v>
      </c>
      <c r="E34" s="15">
        <v>7010</v>
      </c>
      <c r="F34" s="15">
        <v>6350</v>
      </c>
      <c r="G34" s="15">
        <v>6975</v>
      </c>
      <c r="H34" s="15">
        <v>8740</v>
      </c>
      <c r="I34" s="15">
        <v>6200</v>
      </c>
      <c r="J34" s="15">
        <v>6140</v>
      </c>
      <c r="K34" s="15">
        <v>5655</v>
      </c>
      <c r="L34" s="15">
        <v>7815</v>
      </c>
      <c r="M34" s="15">
        <v>6300</v>
      </c>
      <c r="N34" s="12">
        <f t="shared" si="17"/>
        <v>80860</v>
      </c>
    </row>
    <row r="35" spans="1:14" ht="23.4" customHeight="1" thickBot="1" x14ac:dyDescent="0.3">
      <c r="A35" s="3" t="s">
        <v>26</v>
      </c>
      <c r="B35" s="12">
        <v>1300</v>
      </c>
      <c r="C35" s="12">
        <v>1300</v>
      </c>
      <c r="D35" s="12">
        <v>1300</v>
      </c>
      <c r="E35" s="12">
        <v>1300</v>
      </c>
      <c r="F35" s="12">
        <v>1300</v>
      </c>
      <c r="G35" s="12">
        <v>540</v>
      </c>
      <c r="H35" s="12">
        <f>800+300</f>
        <v>1100</v>
      </c>
      <c r="I35" s="12">
        <v>800</v>
      </c>
      <c r="J35" s="12">
        <v>800</v>
      </c>
      <c r="K35" s="12">
        <v>1000</v>
      </c>
      <c r="L35" s="12">
        <v>1000</v>
      </c>
      <c r="M35" s="12">
        <v>1000</v>
      </c>
      <c r="N35" s="12">
        <f t="shared" si="17"/>
        <v>12740</v>
      </c>
    </row>
    <row r="36" spans="1:14" ht="23.4" customHeight="1" thickBot="1" x14ac:dyDescent="0.3">
      <c r="A36" s="3" t="s">
        <v>14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14627.52</v>
      </c>
      <c r="L36" s="12">
        <v>0</v>
      </c>
      <c r="M36" s="12">
        <v>0</v>
      </c>
      <c r="N36" s="12">
        <f t="shared" si="17"/>
        <v>14627.52</v>
      </c>
    </row>
    <row r="37" spans="1:14" ht="21" customHeight="1" thickBot="1" x14ac:dyDescent="0.3">
      <c r="A37" s="3" t="s">
        <v>10</v>
      </c>
      <c r="B37" s="12">
        <v>-8267.74</v>
      </c>
      <c r="C37" s="12">
        <f>105+105+1278.78</f>
        <v>1488.78</v>
      </c>
      <c r="D37" s="12">
        <v>0</v>
      </c>
      <c r="E37" s="12">
        <f>6711.5+105+1153.9+552.5</f>
        <v>8522.9</v>
      </c>
      <c r="F37" s="12">
        <f>6277.2+1085.1+7770</f>
        <v>15132.3</v>
      </c>
      <c r="G37" s="12">
        <f>1278.78+11100+21550.8</f>
        <v>33929.58</v>
      </c>
      <c r="H37" s="12">
        <f>2585</f>
        <v>2585</v>
      </c>
      <c r="I37" s="12">
        <v>0</v>
      </c>
      <c r="J37" s="12">
        <f>105</f>
        <v>105</v>
      </c>
      <c r="K37" s="12">
        <f>7939.7+5826.3</f>
        <v>13766</v>
      </c>
      <c r="L37" s="12">
        <f>222019+1082.6+3732.7+105+2828.8+7577.2+2604+4976.4</f>
        <v>244925.7</v>
      </c>
      <c r="M37" s="12">
        <f>105</f>
        <v>105</v>
      </c>
      <c r="N37" s="12">
        <f t="shared" si="17"/>
        <v>312292.52</v>
      </c>
    </row>
    <row r="38" spans="1:14" ht="22.5" customHeight="1" thickBot="1" x14ac:dyDescent="0.3">
      <c r="A38" s="10" t="s">
        <v>23</v>
      </c>
      <c r="B38" s="11">
        <f t="shared" ref="B38:M38" si="22">SUM(B24:B37)</f>
        <v>58455.352359999997</v>
      </c>
      <c r="C38" s="11">
        <f t="shared" si="22"/>
        <v>63851.612349999996</v>
      </c>
      <c r="D38" s="11">
        <f t="shared" si="22"/>
        <v>64192.799039999998</v>
      </c>
      <c r="E38" s="11">
        <f t="shared" si="22"/>
        <v>74526.251099999994</v>
      </c>
      <c r="F38" s="11">
        <f t="shared" si="22"/>
        <v>81846.550749999995</v>
      </c>
      <c r="G38" s="11">
        <f t="shared" si="22"/>
        <v>97525.323250000001</v>
      </c>
      <c r="H38" s="11">
        <f t="shared" si="22"/>
        <v>72518.177129999996</v>
      </c>
      <c r="I38" s="11">
        <f t="shared" si="22"/>
        <v>61279.971369999999</v>
      </c>
      <c r="J38" s="11">
        <f t="shared" si="22"/>
        <v>61432.960309999995</v>
      </c>
      <c r="K38" s="11">
        <f t="shared" si="22"/>
        <v>100292.63752</v>
      </c>
      <c r="L38" s="11">
        <f t="shared" si="22"/>
        <v>309515.12650000001</v>
      </c>
      <c r="M38" s="11">
        <f t="shared" si="22"/>
        <v>58805.225189999997</v>
      </c>
      <c r="N38" s="11">
        <f>SUM(B38:M38)</f>
        <v>1104241.9868699999</v>
      </c>
    </row>
    <row r="39" spans="1:14" ht="23.25" customHeight="1" thickBot="1" x14ac:dyDescent="0.3">
      <c r="A39" s="3" t="s">
        <v>5</v>
      </c>
      <c r="B39" s="16">
        <f t="shared" ref="B39:N39" si="23">B15-B38</f>
        <v>19090.057640000006</v>
      </c>
      <c r="C39" s="16">
        <f t="shared" si="23"/>
        <v>33773.807649999988</v>
      </c>
      <c r="D39" s="16">
        <f t="shared" si="23"/>
        <v>8513.0309599999891</v>
      </c>
      <c r="E39" s="16">
        <f t="shared" si="23"/>
        <v>-1239.9410999999818</v>
      </c>
      <c r="F39" s="16">
        <f t="shared" si="23"/>
        <v>-5094.4407499999943</v>
      </c>
      <c r="G39" s="16">
        <f t="shared" si="23"/>
        <v>-15228.483250000019</v>
      </c>
      <c r="H39" s="16">
        <f t="shared" si="23"/>
        <v>23175.212870000018</v>
      </c>
      <c r="I39" s="16">
        <f t="shared" si="23"/>
        <v>9475.7386300000071</v>
      </c>
      <c r="J39" s="16">
        <f t="shared" si="23"/>
        <v>11027.499689999997</v>
      </c>
      <c r="K39" s="16">
        <f t="shared" si="23"/>
        <v>-28453.177519999997</v>
      </c>
      <c r="L39" s="16">
        <f t="shared" si="23"/>
        <v>-228429.6765</v>
      </c>
      <c r="M39" s="16">
        <f t="shared" si="23"/>
        <v>23444.754809999999</v>
      </c>
      <c r="N39" s="12">
        <f t="shared" si="23"/>
        <v>-149945.61687000003</v>
      </c>
    </row>
    <row r="40" spans="1:14" ht="23.25" customHeight="1" thickBot="1" x14ac:dyDescent="0.3">
      <c r="A40" s="3" t="s">
        <v>7</v>
      </c>
      <c r="B40" s="17">
        <f t="shared" ref="B40:M40" si="24">B5+B39</f>
        <v>-312242.06235999998</v>
      </c>
      <c r="C40" s="17">
        <f t="shared" si="24"/>
        <v>-278468.25471000001</v>
      </c>
      <c r="D40" s="17">
        <f t="shared" si="24"/>
        <v>-269955.22375</v>
      </c>
      <c r="E40" s="17">
        <f t="shared" si="24"/>
        <v>-271195.16485</v>
      </c>
      <c r="F40" s="17">
        <f t="shared" si="24"/>
        <v>-276289.60560000001</v>
      </c>
      <c r="G40" s="17">
        <f t="shared" si="24"/>
        <v>-291518.08885000006</v>
      </c>
      <c r="H40" s="17">
        <f t="shared" si="24"/>
        <v>-268342.87598000001</v>
      </c>
      <c r="I40" s="17">
        <f t="shared" si="24"/>
        <v>-258867.13735</v>
      </c>
      <c r="J40" s="17">
        <f t="shared" si="24"/>
        <v>-247839.63766000001</v>
      </c>
      <c r="K40" s="17">
        <f t="shared" si="24"/>
        <v>-276292.81518000003</v>
      </c>
      <c r="L40" s="17">
        <f t="shared" si="24"/>
        <v>-504722.49168000004</v>
      </c>
      <c r="M40" s="17">
        <f t="shared" si="24"/>
        <v>-481277.73687000002</v>
      </c>
      <c r="N40" s="16">
        <f>N5-N38+N15</f>
        <v>-481277.73686999991</v>
      </c>
    </row>
    <row r="41" spans="1:14" ht="27" customHeight="1" thickBot="1" x14ac:dyDescent="0.3">
      <c r="A41" s="4" t="s">
        <v>11</v>
      </c>
      <c r="B41" s="18">
        <f>B6+B15-B7</f>
        <v>-179349.58999999997</v>
      </c>
      <c r="C41" s="18">
        <f t="shared" ref="C41:N41" si="25">C6+C15-C7</f>
        <v>-162822.41999999998</v>
      </c>
      <c r="D41" s="18">
        <f t="shared" si="25"/>
        <v>-167346.76999999999</v>
      </c>
      <c r="E41" s="18">
        <f t="shared" si="25"/>
        <v>-172657.05999999997</v>
      </c>
      <c r="F41" s="18">
        <f t="shared" si="25"/>
        <v>-176453.09999999998</v>
      </c>
      <c r="G41" s="18">
        <f t="shared" si="25"/>
        <v>-175926.61</v>
      </c>
      <c r="H41" s="18">
        <f t="shared" si="25"/>
        <v>-158825.62999999998</v>
      </c>
      <c r="I41" s="18">
        <f t="shared" si="25"/>
        <v>-170346.00999999995</v>
      </c>
      <c r="J41" s="18">
        <f t="shared" si="25"/>
        <v>-175011.91999999995</v>
      </c>
      <c r="K41" s="18">
        <f t="shared" si="25"/>
        <v>-182336.09999999995</v>
      </c>
      <c r="L41" s="18">
        <f t="shared" si="25"/>
        <v>-190971.64999999991</v>
      </c>
      <c r="M41" s="18">
        <f t="shared" si="25"/>
        <v>-188345.39999999991</v>
      </c>
      <c r="N41" s="19">
        <f t="shared" si="25"/>
        <v>-188345.40000000002</v>
      </c>
    </row>
  </sheetData>
  <mergeCells count="2">
    <mergeCell ref="A1:N1"/>
    <mergeCell ref="B23:N23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2024-03-12T02:23:44Z</cp:lastPrinted>
  <dcterms:created xsi:type="dcterms:W3CDTF">2011-06-06T03:25:48Z</dcterms:created>
  <dcterms:modified xsi:type="dcterms:W3CDTF">2024-03-12T02:25:14Z</dcterms:modified>
</cp:coreProperties>
</file>